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cortez\Documents\FONPLATA\GOP\para subir a la web\JOAO\"/>
    </mc:Choice>
  </mc:AlternateContent>
  <bookViews>
    <workbookView xWindow="0" yWindow="0" windowWidth="23040" windowHeight="9210" tabRatio="858" firstSheet="5" activeTab="5"/>
  </bookViews>
  <sheets>
    <sheet name="Prog de Actividades y F (USD)" sheetId="1" state="hidden" r:id="rId1"/>
    <sheet name="POA y F de caja" sheetId="2" state="hidden" r:id="rId2"/>
    <sheet name="Mitigacion de Riesgos" sheetId="3" state="hidden" r:id="rId3"/>
    <sheet name="Solicitud de Desembolso p1" sheetId="4" state="hidden" r:id="rId4"/>
    <sheet name="Solicitud de Desembolso p2" sheetId="5" state="hidden" r:id="rId5"/>
    <sheet name="PAC BO-29 " sheetId="11" r:id="rId6"/>
    <sheet name="CARTERA POR DEPAS" sheetId="7" state="hidden" r:id="rId7"/>
  </sheets>
  <externalReferences>
    <externalReference r:id="rId8"/>
  </externalReferences>
  <definedNames>
    <definedName name="_xlnm._FilterDatabase" localSheetId="5" hidden="1">'PAC BO-29 '!$A$10:$Y$93</definedName>
    <definedName name="_xlnm.Print_Area" localSheetId="5">'PAC BO-29 '!$A$1:$Y$93</definedName>
    <definedName name="_xlnm.Print_Area" localSheetId="1">'POA y F de caja'!$A$1:$AF$103</definedName>
    <definedName name="Component1">[1]RRF!$C$8</definedName>
    <definedName name="Component11">[1]RRF!$C$44</definedName>
    <definedName name="Component2">[1]RRF!$C$12</definedName>
    <definedName name="Component3">[1]RRF!$C$19</definedName>
    <definedName name="Component4">[1]RRF!$C$26</definedName>
    <definedName name="Component7">[1]RRF!$C$31</definedName>
    <definedName name="Component8">[1]RRF!$C$35</definedName>
    <definedName name="Component9">[1]RRF!$C$40</definedName>
    <definedName name="Level1">[1]MER!$J$15</definedName>
    <definedName name="Level11">[1]MER!$J$25</definedName>
    <definedName name="Level2">[1]MER!$J$16</definedName>
    <definedName name="Level3">[1]MER!$J$17</definedName>
    <definedName name="Level4">[1]MER!$J$18</definedName>
    <definedName name="Level7">[1]MER!$J$21</definedName>
    <definedName name="Level8">[1]MER!$J$22</definedName>
    <definedName name="Level9">[1]MER!$J$23</definedName>
    <definedName name="Print_Area_MI" localSheetId="5">#REF!</definedName>
    <definedName name="Print_Area_MI" localSheetId="0">#REF!</definedName>
    <definedName name="Print_Area_MI">#REF!</definedName>
    <definedName name="Risk1">[1]RRF!$E$8</definedName>
    <definedName name="Risk11">[1]RRF!$E$44</definedName>
    <definedName name="Risk2">[1]RRF!$E$12</definedName>
    <definedName name="Risk3">[1]RRF!$E$19</definedName>
    <definedName name="Risk4">[1]RRF!$E$26</definedName>
    <definedName name="Risk7">[1]RRF!$E$31</definedName>
    <definedName name="Risk8">[1]RRF!$E$35</definedName>
    <definedName name="Risk9">[1]RRF!$E$40</definedName>
    <definedName name="Typeofrisk1">[1]RRF!$D$8</definedName>
    <definedName name="Typeofrisk11">[1]RRF!$D$44</definedName>
    <definedName name="Typeofrisk2">[1]RRF!$D$12</definedName>
    <definedName name="Typeofrisk3">[1]RRF!$D$19</definedName>
    <definedName name="Typeofrisk4">[1]RRF!$D$26</definedName>
    <definedName name="Typeofrisk7">[1]RRF!$D$31</definedName>
    <definedName name="Typeofrisk8">[1]RRF!$D$35</definedName>
    <definedName name="Typeofrisk9">[1]RRF!$D$40</definedName>
    <definedName name="Value1">[1]MER!$I$15</definedName>
    <definedName name="Value11">[1]MER!$I$25</definedName>
    <definedName name="Value2">[1]MER!$I$16</definedName>
    <definedName name="Value3">[1]MER!$I$17</definedName>
    <definedName name="Value4">[1]MER!$I$18</definedName>
    <definedName name="Value7">[1]MER!$I$21</definedName>
    <definedName name="Value8">[1]MER!$I$22</definedName>
    <definedName name="Value9">[1]MER!$I$23</definedName>
    <definedName name="Z_23569F49_FBC0_4F47_9C51_282C545B103D_.wvu.Cols" localSheetId="0" hidden="1">'Prog de Actividades y F (USD)'!$I:$AE</definedName>
    <definedName name="Z_23569F49_FBC0_4F47_9C51_282C545B103D_.wvu.PrintArea" localSheetId="5" hidden="1">'PAC BO-29 '!$A$1:$Y$85</definedName>
    <definedName name="Z_23569F49_FBC0_4F47_9C51_282C545B103D_.wvu.PrintArea" localSheetId="1" hidden="1">'POA y F de caja'!$A$1:$AF$103</definedName>
    <definedName name="Z_23569F49_FBC0_4F47_9C51_282C545B103D_.wvu.Rows" localSheetId="5" hidden="1">'PAC BO-29 '!$112:$114</definedName>
    <definedName name="Z_23569F49_FBC0_4F47_9C51_282C545B103D_.wvu.Rows" localSheetId="1" hidden="1">'POA y F de caja'!$38:$46,'POA y F de caja'!$49:$57,'POA y F de caja'!$64:$97</definedName>
    <definedName name="Z_6AEDB835_43F0_481E_A780_2C561C644D12_.wvu.Cols" localSheetId="0" hidden="1">'Prog de Actividades y F (USD)'!$I:$AE</definedName>
    <definedName name="Z_6AEDB835_43F0_481E_A780_2C561C644D12_.wvu.PrintArea" localSheetId="5" hidden="1">'PAC BO-29 '!$A$1:$Y$85</definedName>
    <definedName name="Z_6AEDB835_43F0_481E_A780_2C561C644D12_.wvu.PrintArea" localSheetId="1" hidden="1">'POA y F de caja'!$A$1:$AF$103</definedName>
    <definedName name="Z_6AEDB835_43F0_481E_A780_2C561C644D12_.wvu.Rows" localSheetId="5" hidden="1">'PAC BO-29 '!$112:$114</definedName>
    <definedName name="Z_6AEDB835_43F0_481E_A780_2C561C644D12_.wvu.Rows" localSheetId="1" hidden="1">'POA y F de caja'!$38:$46,'POA y F de caja'!$49:$57,'POA y F de caja'!$64:$97</definedName>
    <definedName name="Z_7E7CA3FB_6FDA_4256_BB02_7B4FCCA3FFF0_.wvu.Cols" localSheetId="0" hidden="1">'Prog de Actividades y F (USD)'!$I:$AE</definedName>
    <definedName name="Z_7E7CA3FB_6FDA_4256_BB02_7B4FCCA3FFF0_.wvu.PrintArea" localSheetId="5" hidden="1">'PAC BO-29 '!$A$1:$Y$85</definedName>
    <definedName name="Z_7E7CA3FB_6FDA_4256_BB02_7B4FCCA3FFF0_.wvu.PrintArea" localSheetId="1" hidden="1">'POA y F de caja'!$A$1:$AF$103</definedName>
    <definedName name="Z_7E7CA3FB_6FDA_4256_BB02_7B4FCCA3FFF0_.wvu.Rows" localSheetId="5" hidden="1">'PAC BO-29 '!$112:$114</definedName>
    <definedName name="Z_7E7CA3FB_6FDA_4256_BB02_7B4FCCA3FFF0_.wvu.Rows" localSheetId="1" hidden="1">'POA y F de caja'!$38:$46,'POA y F de caja'!$49:$57,'POA y F de caja'!$64:$97</definedName>
    <definedName name="Z_93ADF27F_9A18_4647_82B7_CE6A8B02AE32_.wvu.Cols" localSheetId="0" hidden="1">'Prog de Actividades y F (USD)'!$I:$AE</definedName>
    <definedName name="Z_93ADF27F_9A18_4647_82B7_CE6A8B02AE32_.wvu.PrintArea" localSheetId="5" hidden="1">'PAC BO-29 '!$A$1:$Y$85</definedName>
    <definedName name="Z_93ADF27F_9A18_4647_82B7_CE6A8B02AE32_.wvu.PrintArea" localSheetId="1" hidden="1">'POA y F de caja'!$A$1:$AF$103</definedName>
    <definedName name="Z_93ADF27F_9A18_4647_82B7_CE6A8B02AE32_.wvu.Rows" localSheetId="5" hidden="1">'PAC BO-29 '!$112:$114</definedName>
    <definedName name="Z_93ADF27F_9A18_4647_82B7_CE6A8B02AE32_.wvu.Rows" localSheetId="1" hidden="1">'POA y F de caja'!$38:$46,'POA y F de caja'!$49:$57,'POA y F de caja'!$64:$97</definedName>
    <definedName name="Z_CDD4CC9E_6119_4CA0_8931_C42027CB6312_.wvu.Cols" localSheetId="0" hidden="1">'Prog de Actividades y F (USD)'!$I:$AE</definedName>
    <definedName name="Z_CDD4CC9E_6119_4CA0_8931_C42027CB6312_.wvu.PrintArea" localSheetId="5" hidden="1">'PAC BO-29 '!$A$1:$Y$85</definedName>
    <definedName name="Z_CDD4CC9E_6119_4CA0_8931_C42027CB6312_.wvu.PrintArea" localSheetId="1" hidden="1">'POA y F de caja'!$A$1:$AF$103</definedName>
    <definedName name="Z_CDD4CC9E_6119_4CA0_8931_C42027CB6312_.wvu.Rows" localSheetId="5" hidden="1">'PAC BO-29 '!$112:$114</definedName>
    <definedName name="Z_CDD4CC9E_6119_4CA0_8931_C42027CB6312_.wvu.Rows" localSheetId="1" hidden="1">'POA y F de caja'!$38:$46,'POA y F de caja'!$49:$57,'POA y F de caja'!$64:$97</definedName>
    <definedName name="Z_D80C08F4_E264_4AD6_98CE_CE2933253099_.wvu.Cols" localSheetId="0" hidden="1">'Prog de Actividades y F (USD)'!$I:$AE</definedName>
    <definedName name="Z_D80C08F4_E264_4AD6_98CE_CE2933253099_.wvu.PrintArea" localSheetId="5" hidden="1">'PAC BO-29 '!$A$1:$Y$85</definedName>
    <definedName name="Z_D80C08F4_E264_4AD6_98CE_CE2933253099_.wvu.PrintArea" localSheetId="1" hidden="1">'POA y F de caja'!$A$1:$AF$103</definedName>
    <definedName name="Z_D80C08F4_E264_4AD6_98CE_CE2933253099_.wvu.Rows" localSheetId="5" hidden="1">'PAC BO-29 '!$112:$114</definedName>
    <definedName name="Z_D80C08F4_E264_4AD6_98CE_CE2933253099_.wvu.Rows" localSheetId="1" hidden="1">'POA y F de caja'!$38:$46,'POA y F de caja'!$49:$57,'POA y F de caja'!$64:$97</definedName>
  </definedNames>
  <calcPr calcId="152511"/>
  <customWorkbookViews>
    <customWorkbookView name="Genny Ramallo - Vista personalizada" guid="{23569F49-FBC0-4F47-9C51-282C545B103D}" mergeInterval="0" personalView="1" xWindow="10" yWindow="440" windowWidth="1900" windowHeight="355" tabRatio="858" activeSheetId="6" showComments="commIndAndComment"/>
    <customWorkbookView name="SISTEMAS SOPORTE - Vista personalizada" guid="{D80C08F4-E264-4AD6-98CE-CE2933253099}" mergeInterval="0" personalView="1" maximized="1" windowWidth="1916" windowHeight="939" tabRatio="858" activeSheetId="6"/>
    <customWorkbookView name="Marco Antonio Nina - Vista personalizada" guid="{93ADF27F-9A18-4647-82B7-CE6A8B02AE32}" mergeInterval="0" personalView="1" maximized="1" xWindow="-8" yWindow="-8" windowWidth="1936" windowHeight="1056" tabRatio="858" activeSheetId="6"/>
    <customWorkbookView name="Yadira Navarro Carraffa - Vista personalizada" guid="{CDD4CC9E-6119-4CA0-8931-C42027CB6312}" mergeInterval="0" personalView="1" maximized="1" windowWidth="1916" windowHeight="855" tabRatio="858" activeSheetId="6"/>
    <customWorkbookView name="Katherine Castañon - Vista personalizada" guid="{6AEDB835-43F0-481E-A780-2C561C644D12}" mergeInterval="0" personalView="1" maximized="1" windowWidth="1916" windowHeight="855" tabRatio="858" activeSheetId="6"/>
    <customWorkbookView name="Calixto Arturo Espinoza del Carpio - Vista personalizada" guid="{7E7CA3FB-6FDA-4256-BB02-7B4FCCA3FFF0}" mergeInterval="0" personalView="1" maximized="1" xWindow="-8" yWindow="-8" windowWidth="1936" windowHeight="1056" tabRatio="858" activeSheetId="6"/>
  </customWorkbookViews>
</workbook>
</file>

<file path=xl/calcChain.xml><?xml version="1.0" encoding="utf-8"?>
<calcChain xmlns="http://schemas.openxmlformats.org/spreadsheetml/2006/main">
  <c r="F93" i="11" l="1"/>
  <c r="W98" i="11" l="1"/>
  <c r="U98" i="11"/>
  <c r="U101" i="11" l="1"/>
  <c r="U44" i="11" l="1"/>
  <c r="X85" i="11"/>
  <c r="X83" i="11"/>
  <c r="X81" i="11"/>
  <c r="X79" i="11"/>
  <c r="X77" i="11"/>
  <c r="X75" i="11"/>
  <c r="X73" i="11"/>
  <c r="X71" i="11"/>
  <c r="X69" i="11"/>
  <c r="X67" i="11"/>
  <c r="X65" i="11"/>
  <c r="X63" i="11"/>
  <c r="X61" i="11"/>
  <c r="X59" i="11"/>
  <c r="X57" i="11"/>
  <c r="X55" i="11"/>
  <c r="X53" i="11"/>
  <c r="X51" i="11"/>
  <c r="X49" i="11"/>
  <c r="X47" i="11"/>
  <c r="X45" i="11"/>
  <c r="U36" i="11"/>
  <c r="X36" i="11" s="1"/>
  <c r="U32" i="11"/>
  <c r="X32" i="11" s="1"/>
  <c r="U28" i="11"/>
  <c r="X28" i="11" s="1"/>
  <c r="U24" i="11"/>
  <c r="X24" i="11" s="1"/>
  <c r="U21" i="11"/>
  <c r="X21" i="11" s="1"/>
  <c r="U12" i="11"/>
  <c r="X12" i="11" s="1"/>
  <c r="U11" i="11" l="1"/>
  <c r="U93" i="11"/>
  <c r="X93" i="11" s="1"/>
  <c r="X44" i="11"/>
  <c r="F91" i="11"/>
  <c r="F89" i="11"/>
  <c r="F87" i="11"/>
  <c r="W85" i="11"/>
  <c r="U97" i="11" l="1"/>
  <c r="X11" i="11"/>
  <c r="W97" i="11" s="1"/>
  <c r="F20" i="11"/>
  <c r="F19" i="11"/>
  <c r="F18" i="11"/>
  <c r="E17" i="11"/>
  <c r="F17" i="11" s="1"/>
  <c r="F43" i="11" l="1"/>
  <c r="F42" i="11"/>
  <c r="F41" i="11"/>
  <c r="E40" i="11"/>
  <c r="E36" i="11"/>
  <c r="W39" i="11"/>
  <c r="F39" i="11"/>
  <c r="F40" i="11" l="1"/>
  <c r="W16" i="11"/>
  <c r="W15" i="11"/>
  <c r="W14" i="11"/>
  <c r="W13" i="11"/>
  <c r="W79" i="11" l="1"/>
  <c r="W67" i="11"/>
  <c r="W31" i="11" l="1"/>
  <c r="W30" i="11"/>
  <c r="W29" i="11"/>
  <c r="W45" i="11" l="1"/>
  <c r="W49" i="11"/>
  <c r="W51" i="11"/>
  <c r="W53" i="11"/>
  <c r="W55" i="11"/>
  <c r="W57" i="11"/>
  <c r="W59" i="11"/>
  <c r="W61" i="11"/>
  <c r="W63" i="11"/>
  <c r="W65" i="11"/>
  <c r="W69" i="11"/>
  <c r="W71" i="11"/>
  <c r="W73" i="11"/>
  <c r="W75" i="11"/>
  <c r="W77" i="11"/>
  <c r="W81" i="11"/>
  <c r="W83" i="11"/>
  <c r="W47" i="11"/>
  <c r="W38" i="11"/>
  <c r="W37" i="11"/>
  <c r="W34" i="11"/>
  <c r="W35" i="11"/>
  <c r="W33" i="11"/>
  <c r="W26" i="11"/>
  <c r="W27" i="11"/>
  <c r="W25" i="11"/>
  <c r="W23" i="11"/>
  <c r="W22" i="11"/>
  <c r="E44" i="11" l="1"/>
  <c r="F44" i="11" l="1"/>
  <c r="W99" i="11" s="1"/>
  <c r="W100" i="11" s="1"/>
  <c r="W102" i="11" s="1"/>
  <c r="U99" i="11"/>
  <c r="U100" i="11" s="1"/>
  <c r="U102" i="11" s="1"/>
  <c r="F36" i="11"/>
  <c r="E32" i="11" l="1"/>
  <c r="F32" i="11" s="1"/>
  <c r="E28" i="11"/>
  <c r="F28" i="11" s="1"/>
  <c r="E24" i="11"/>
  <c r="F24" i="11" s="1"/>
  <c r="E21" i="11"/>
  <c r="F21" i="11" s="1"/>
  <c r="E12" i="11"/>
  <c r="E11" i="11" l="1"/>
  <c r="F85" i="11"/>
  <c r="F83" i="11"/>
  <c r="F81" i="11"/>
  <c r="F79" i="11"/>
  <c r="F77" i="11"/>
  <c r="F75" i="11"/>
  <c r="F73" i="11"/>
  <c r="F71" i="11"/>
  <c r="F69" i="11"/>
  <c r="F67" i="11"/>
  <c r="F65" i="11"/>
  <c r="F63" i="11"/>
  <c r="F61" i="11"/>
  <c r="F59" i="11"/>
  <c r="F57" i="11"/>
  <c r="F55" i="11"/>
  <c r="F53" i="11"/>
  <c r="F51" i="11"/>
  <c r="F49" i="11"/>
  <c r="F47" i="11"/>
  <c r="F45" i="11"/>
  <c r="F33" i="11"/>
  <c r="F25" i="11"/>
  <c r="F30" i="11"/>
  <c r="F27" i="11"/>
  <c r="F26" i="11"/>
  <c r="F31" i="11"/>
  <c r="F16" i="11"/>
  <c r="F14" i="11"/>
  <c r="F37" i="11"/>
  <c r="F38" i="11"/>
  <c r="F15" i="11"/>
  <c r="F34" i="11"/>
  <c r="F23" i="11"/>
  <c r="F13" i="11"/>
  <c r="F22" i="11"/>
  <c r="F29" i="11"/>
  <c r="F35" i="11"/>
  <c r="F12" i="11"/>
  <c r="F11" i="11" l="1"/>
  <c r="E93" i="11"/>
  <c r="E173" i="7"/>
  <c r="E171" i="7"/>
  <c r="E169" i="7"/>
  <c r="E165" i="7"/>
  <c r="E163" i="7"/>
  <c r="E161" i="7"/>
  <c r="E159" i="7"/>
  <c r="E157" i="7"/>
  <c r="E155" i="7"/>
  <c r="E141" i="7"/>
  <c r="E133" i="7"/>
  <c r="E105" i="7"/>
  <c r="E77" i="7"/>
  <c r="E73" i="7"/>
  <c r="E59" i="7"/>
  <c r="E35" i="7"/>
  <c r="E31" i="7"/>
  <c r="E19" i="7"/>
  <c r="E5" i="7"/>
  <c r="E175" i="7" l="1"/>
  <c r="D224" i="7"/>
  <c r="E224" i="7"/>
  <c r="AD12" i="2" l="1"/>
  <c r="AD23" i="2"/>
  <c r="Q20" i="2"/>
  <c r="I95" i="2"/>
  <c r="I84" i="2"/>
  <c r="I79" i="2"/>
  <c r="I69" i="2"/>
  <c r="I19" i="2"/>
  <c r="I9" i="2"/>
  <c r="C84" i="2"/>
  <c r="C79" i="2"/>
  <c r="C74" i="2"/>
  <c r="C69" i="2"/>
  <c r="C64" i="2"/>
  <c r="C59" i="2"/>
  <c r="C53" i="2"/>
  <c r="C48" i="2"/>
  <c r="C43" i="2"/>
  <c r="C37" i="2"/>
  <c r="C32" i="2"/>
  <c r="C25" i="2"/>
  <c r="C19" i="2"/>
  <c r="C15" i="2"/>
  <c r="C9" i="2"/>
  <c r="AE95" i="2" l="1"/>
  <c r="AD95" i="2"/>
  <c r="AF95" i="2"/>
  <c r="AE93" i="2"/>
  <c r="AE90" i="2"/>
  <c r="AE87" i="2"/>
  <c r="AE86" i="2"/>
  <c r="AE83" i="2"/>
  <c r="AE78" i="2"/>
  <c r="AE73" i="2"/>
  <c r="AE63" i="2"/>
  <c r="AE62" i="2"/>
  <c r="AE52" i="2"/>
  <c r="AE51" i="2"/>
  <c r="AE24" i="2"/>
  <c r="AE23" i="2"/>
  <c r="AE22" i="2"/>
  <c r="AE21" i="2"/>
  <c r="AE20" i="2"/>
  <c r="AE18" i="2"/>
  <c r="AE16" i="2"/>
  <c r="AE14" i="2"/>
  <c r="AE13" i="2"/>
  <c r="AE12" i="2"/>
  <c r="AE11" i="2"/>
  <c r="AD93" i="2"/>
  <c r="AD90" i="2"/>
  <c r="AD87" i="2"/>
  <c r="AD86" i="2"/>
  <c r="AD85" i="2"/>
  <c r="AD83" i="2"/>
  <c r="AD80" i="2"/>
  <c r="AD78" i="2"/>
  <c r="AF78" i="2" s="1"/>
  <c r="AD75" i="2"/>
  <c r="AD73" i="2"/>
  <c r="AD72" i="2"/>
  <c r="AD68" i="2"/>
  <c r="AD65" i="2"/>
  <c r="AD63" i="2"/>
  <c r="AD62" i="2"/>
  <c r="AD61" i="2"/>
  <c r="AD57" i="2"/>
  <c r="AD53" i="2" s="1"/>
  <c r="AD52" i="2"/>
  <c r="AD51" i="2"/>
  <c r="AD36" i="2"/>
  <c r="AD35" i="2"/>
  <c r="AD26" i="2"/>
  <c r="AD24" i="2"/>
  <c r="AD22" i="2"/>
  <c r="AD18" i="2"/>
  <c r="AD17" i="2"/>
  <c r="AD11" i="2"/>
  <c r="AD13" i="2"/>
  <c r="AD14" i="2"/>
  <c r="AE10" i="2"/>
  <c r="AD10" i="2"/>
  <c r="J8" i="2"/>
  <c r="K95" i="2"/>
  <c r="L95" i="2"/>
  <c r="M95" i="2"/>
  <c r="N95" i="2"/>
  <c r="O95" i="2"/>
  <c r="P95" i="2"/>
  <c r="Q95" i="2"/>
  <c r="R95" i="2"/>
  <c r="S95" i="2"/>
  <c r="T95" i="2"/>
  <c r="U95" i="2"/>
  <c r="V95" i="2"/>
  <c r="W95" i="2"/>
  <c r="X95" i="2"/>
  <c r="Y95" i="2"/>
  <c r="Z95" i="2"/>
  <c r="AA95" i="2"/>
  <c r="C95" i="2"/>
  <c r="C58" i="2"/>
  <c r="C8" i="2"/>
  <c r="AA89" i="2"/>
  <c r="AA88" i="2" s="1"/>
  <c r="Z89" i="2"/>
  <c r="Z88" i="2" s="1"/>
  <c r="Y89" i="2"/>
  <c r="Y88" i="2" s="1"/>
  <c r="X89" i="2"/>
  <c r="X88" i="2" s="1"/>
  <c r="W89" i="2"/>
  <c r="W88" i="2" s="1"/>
  <c r="V89" i="2"/>
  <c r="V88" i="2" s="1"/>
  <c r="U89" i="2"/>
  <c r="U88" i="2" s="1"/>
  <c r="T89" i="2"/>
  <c r="T88" i="2" s="1"/>
  <c r="S89" i="2"/>
  <c r="S88" i="2" s="1"/>
  <c r="R89" i="2"/>
  <c r="R88" i="2" s="1"/>
  <c r="Q89" i="2"/>
  <c r="Q88" i="2" s="1"/>
  <c r="P89" i="2"/>
  <c r="P88" i="2" s="1"/>
  <c r="O89" i="2"/>
  <c r="O88" i="2" s="1"/>
  <c r="N89" i="2"/>
  <c r="N88" i="2" s="1"/>
  <c r="M89" i="2"/>
  <c r="M88" i="2" s="1"/>
  <c r="L89" i="2"/>
  <c r="L88" i="2" s="1"/>
  <c r="K89" i="2"/>
  <c r="K88" i="2" s="1"/>
  <c r="AE85" i="2"/>
  <c r="I75" i="2"/>
  <c r="I74" i="2" s="1"/>
  <c r="Z64" i="2"/>
  <c r="I65" i="2"/>
  <c r="I64" i="2" s="1"/>
  <c r="Y64" i="2"/>
  <c r="AA64" i="2"/>
  <c r="X64" i="2"/>
  <c r="W64" i="2"/>
  <c r="T64" i="2"/>
  <c r="S64" i="2"/>
  <c r="R64" i="2"/>
  <c r="Q64" i="2"/>
  <c r="P64" i="2"/>
  <c r="O64" i="2"/>
  <c r="M64" i="2"/>
  <c r="L64" i="2"/>
  <c r="K64" i="2"/>
  <c r="AF90" i="2" l="1"/>
  <c r="AE89" i="2"/>
  <c r="AE88" i="2" s="1"/>
  <c r="AD79" i="2"/>
  <c r="AF10" i="2"/>
  <c r="AF86" i="2"/>
  <c r="AF87" i="2"/>
  <c r="AD69" i="2"/>
  <c r="AD89" i="2"/>
  <c r="AD88" i="2" s="1"/>
  <c r="AF83" i="2"/>
  <c r="AF85" i="2"/>
  <c r="AF93" i="2"/>
  <c r="AD74" i="2"/>
  <c r="AD84" i="2"/>
  <c r="AF73" i="2"/>
  <c r="AD59" i="2"/>
  <c r="AF63" i="2"/>
  <c r="AF62" i="2"/>
  <c r="AD64" i="2"/>
  <c r="AD48" i="2"/>
  <c r="AF52" i="2"/>
  <c r="AF24" i="2"/>
  <c r="AD32" i="2"/>
  <c r="AF51" i="2"/>
  <c r="AF22" i="2"/>
  <c r="AF14" i="2"/>
  <c r="AF12" i="2"/>
  <c r="AF18" i="2"/>
  <c r="AF23" i="2"/>
  <c r="AF13" i="2"/>
  <c r="AE19" i="2"/>
  <c r="AD9" i="2"/>
  <c r="AE9" i="2"/>
  <c r="AF11" i="2"/>
  <c r="C31" i="2"/>
  <c r="AE48" i="2"/>
  <c r="AE75" i="2"/>
  <c r="AF75" i="2" s="1"/>
  <c r="AE80" i="2"/>
  <c r="AF80" i="2" s="1"/>
  <c r="AE68" i="2"/>
  <c r="AF68" i="2" s="1"/>
  <c r="AE72" i="2"/>
  <c r="AF72" i="2" s="1"/>
  <c r="N64" i="2"/>
  <c r="AE65" i="2"/>
  <c r="AF65" i="2" s="1"/>
  <c r="K84" i="2"/>
  <c r="K79" i="2" s="1"/>
  <c r="K74" i="2" s="1"/>
  <c r="K69" i="2" s="1"/>
  <c r="K59" i="2" s="1"/>
  <c r="K58" i="2" s="1"/>
  <c r="L84" i="2"/>
  <c r="L79" i="2" s="1"/>
  <c r="L74" i="2" s="1"/>
  <c r="L69" i="2" s="1"/>
  <c r="L59" i="2" s="1"/>
  <c r="L58" i="2" s="1"/>
  <c r="M84" i="2"/>
  <c r="M79" i="2" s="1"/>
  <c r="M74" i="2" s="1"/>
  <c r="M69" i="2" s="1"/>
  <c r="M59" i="2" s="1"/>
  <c r="M58" i="2" s="1"/>
  <c r="O84" i="2"/>
  <c r="O79" i="2" s="1"/>
  <c r="O74" i="2" s="1"/>
  <c r="O69" i="2" s="1"/>
  <c r="O59" i="2" s="1"/>
  <c r="O58" i="2" s="1"/>
  <c r="P84" i="2"/>
  <c r="P79" i="2" s="1"/>
  <c r="P74" i="2" s="1"/>
  <c r="P69" i="2" s="1"/>
  <c r="P59" i="2" s="1"/>
  <c r="P58" i="2" s="1"/>
  <c r="Q84" i="2"/>
  <c r="Q79" i="2" s="1"/>
  <c r="Q74" i="2" s="1"/>
  <c r="Q69" i="2" s="1"/>
  <c r="Q59" i="2" s="1"/>
  <c r="Q58" i="2" s="1"/>
  <c r="R84" i="2"/>
  <c r="R79" i="2" s="1"/>
  <c r="R74" i="2" s="1"/>
  <c r="R69" i="2" s="1"/>
  <c r="R59" i="2" s="1"/>
  <c r="R58" i="2" s="1"/>
  <c r="S84" i="2"/>
  <c r="S79" i="2" s="1"/>
  <c r="S74" i="2" s="1"/>
  <c r="S69" i="2" s="1"/>
  <c r="U84" i="2"/>
  <c r="U79" i="2" s="1"/>
  <c r="V84" i="2"/>
  <c r="V79" i="2" s="1"/>
  <c r="V74" i="2" s="1"/>
  <c r="V69" i="2" s="1"/>
  <c r="W84" i="2"/>
  <c r="W79" i="2" s="1"/>
  <c r="W74" i="2" s="1"/>
  <c r="W69" i="2" s="1"/>
  <c r="W59" i="2" s="1"/>
  <c r="W58" i="2" s="1"/>
  <c r="X84" i="2"/>
  <c r="X79" i="2" s="1"/>
  <c r="X74" i="2" s="1"/>
  <c r="X69" i="2" s="1"/>
  <c r="Y84" i="2"/>
  <c r="Z84" i="2"/>
  <c r="Z79" i="2" s="1"/>
  <c r="Z74" i="2" s="1"/>
  <c r="Z69" i="2" s="1"/>
  <c r="K53" i="2"/>
  <c r="L53" i="2"/>
  <c r="M53" i="2"/>
  <c r="P53" i="2"/>
  <c r="Q53" i="2"/>
  <c r="R53" i="2"/>
  <c r="S53" i="2"/>
  <c r="T53" i="2"/>
  <c r="W53" i="2"/>
  <c r="X53" i="2"/>
  <c r="Y53" i="2"/>
  <c r="Z53" i="2"/>
  <c r="K48" i="2"/>
  <c r="L48" i="2"/>
  <c r="M48" i="2"/>
  <c r="O48" i="2"/>
  <c r="P48" i="2"/>
  <c r="Q48" i="2"/>
  <c r="S48" i="2"/>
  <c r="T48" i="2"/>
  <c r="U48" i="2"/>
  <c r="W48" i="2"/>
  <c r="X48" i="2"/>
  <c r="Y48" i="2"/>
  <c r="Z48" i="2"/>
  <c r="AA48" i="2"/>
  <c r="K43" i="2"/>
  <c r="L43" i="2"/>
  <c r="M43" i="2"/>
  <c r="N43" i="2"/>
  <c r="O43" i="2"/>
  <c r="P43" i="2"/>
  <c r="R43" i="2"/>
  <c r="S43" i="2"/>
  <c r="T43" i="2"/>
  <c r="U43" i="2"/>
  <c r="V43" i="2"/>
  <c r="X43" i="2"/>
  <c r="Y43" i="2"/>
  <c r="Z43" i="2"/>
  <c r="AA43" i="2"/>
  <c r="K37" i="2"/>
  <c r="L37" i="2"/>
  <c r="M37" i="2"/>
  <c r="N37" i="2"/>
  <c r="P37" i="2"/>
  <c r="Q37" i="2"/>
  <c r="S37" i="2"/>
  <c r="U37" i="2"/>
  <c r="V37" i="2"/>
  <c r="W37" i="2"/>
  <c r="X37" i="2"/>
  <c r="Y37" i="2"/>
  <c r="Z37" i="2"/>
  <c r="AA37" i="2"/>
  <c r="K32" i="2"/>
  <c r="L32" i="2"/>
  <c r="M32" i="2"/>
  <c r="N32" i="2"/>
  <c r="O32" i="2"/>
  <c r="P32" i="2"/>
  <c r="Q32" i="2"/>
  <c r="R32" i="2"/>
  <c r="S32" i="2"/>
  <c r="T32" i="2"/>
  <c r="X32" i="2"/>
  <c r="AA32" i="2"/>
  <c r="K25" i="2"/>
  <c r="L25" i="2"/>
  <c r="N25" i="2"/>
  <c r="O25" i="2"/>
  <c r="P25" i="2"/>
  <c r="Q25" i="2"/>
  <c r="R25" i="2"/>
  <c r="T25" i="2"/>
  <c r="V25" i="2"/>
  <c r="W25" i="2"/>
  <c r="AA25" i="2"/>
  <c r="K19" i="2"/>
  <c r="P19" i="2"/>
  <c r="Q19" i="2"/>
  <c r="R19" i="2"/>
  <c r="S19" i="2"/>
  <c r="T19" i="2"/>
  <c r="U19" i="2"/>
  <c r="V19" i="2"/>
  <c r="W19" i="2"/>
  <c r="X19" i="2"/>
  <c r="Y19" i="2"/>
  <c r="Z19" i="2"/>
  <c r="AA19" i="2"/>
  <c r="K15" i="2"/>
  <c r="M15" i="2"/>
  <c r="N15" i="2"/>
  <c r="P15" i="2"/>
  <c r="R15" i="2"/>
  <c r="S15" i="2"/>
  <c r="T15" i="2"/>
  <c r="U15" i="2"/>
  <c r="V15" i="2"/>
  <c r="X15" i="2"/>
  <c r="Y15" i="2"/>
  <c r="Z15" i="2"/>
  <c r="K9" i="2"/>
  <c r="L9" i="2"/>
  <c r="M9" i="2"/>
  <c r="N9" i="2"/>
  <c r="O9" i="2"/>
  <c r="P9" i="2"/>
  <c r="Q9" i="2"/>
  <c r="R9" i="2"/>
  <c r="S9" i="2"/>
  <c r="T9" i="2"/>
  <c r="U9" i="2"/>
  <c r="V9" i="2"/>
  <c r="W9" i="2"/>
  <c r="X9" i="2"/>
  <c r="Y9" i="2"/>
  <c r="Z9" i="2"/>
  <c r="AA9" i="2"/>
  <c r="AF89" i="2" l="1"/>
  <c r="AF88" i="2" s="1"/>
  <c r="AF84" i="2" s="1"/>
  <c r="AF79" i="2" s="1"/>
  <c r="AF74" i="2" s="1"/>
  <c r="AF69" i="2" s="1"/>
  <c r="K8" i="2"/>
  <c r="P8" i="2"/>
  <c r="AD58" i="2"/>
  <c r="AF48" i="2"/>
  <c r="L31" i="2"/>
  <c r="L30" i="2" s="1"/>
  <c r="AF9" i="2"/>
  <c r="S31" i="2"/>
  <c r="X31" i="2"/>
  <c r="M31" i="2"/>
  <c r="M30" i="2" s="1"/>
  <c r="P31" i="2"/>
  <c r="P30" i="2" s="1"/>
  <c r="J98" i="2"/>
  <c r="AF64" i="2"/>
  <c r="K31" i="2"/>
  <c r="K30" i="2" s="1"/>
  <c r="T8" i="2"/>
  <c r="V8" i="2"/>
  <c r="R8" i="2"/>
  <c r="U74" i="2"/>
  <c r="U69" i="2" s="1"/>
  <c r="Y79" i="2"/>
  <c r="Y74" i="2" s="1"/>
  <c r="Y69" i="2" s="1"/>
  <c r="Y59" i="2" s="1"/>
  <c r="Y58" i="2" s="1"/>
  <c r="V64" i="2"/>
  <c r="U64" i="2"/>
  <c r="AE64" i="2" l="1"/>
  <c r="K98" i="2"/>
  <c r="AF135" i="1"/>
  <c r="AF9" i="1"/>
  <c r="AF15" i="1"/>
  <c r="AF11" i="1" s="1"/>
  <c r="AF28" i="1"/>
  <c r="AF30" i="1"/>
  <c r="AF32" i="1"/>
  <c r="AF31" i="1" s="1"/>
  <c r="AF38" i="1"/>
  <c r="AF34" i="1" s="1"/>
  <c r="AF44" i="1"/>
  <c r="AF40" i="1" s="1"/>
  <c r="AF27" i="1" l="1"/>
  <c r="AF26" i="1" s="1"/>
  <c r="K144" i="1"/>
  <c r="E127" i="1"/>
  <c r="F127" i="1"/>
  <c r="E16" i="1"/>
  <c r="I61" i="2" l="1"/>
  <c r="I59" i="2" s="1"/>
  <c r="I58" i="2" s="1"/>
  <c r="I57" i="2"/>
  <c r="I53" i="2" s="1"/>
  <c r="I52" i="2"/>
  <c r="I51" i="2"/>
  <c r="I47" i="2"/>
  <c r="I43" i="2" s="1"/>
  <c r="I42" i="2"/>
  <c r="I37" i="2" s="1"/>
  <c r="I36" i="2"/>
  <c r="I35" i="2"/>
  <c r="G132" i="1"/>
  <c r="H132" i="1" s="1"/>
  <c r="G126" i="1"/>
  <c r="G118" i="1"/>
  <c r="G110" i="1"/>
  <c r="G102" i="1"/>
  <c r="H102" i="1" s="1"/>
  <c r="G99" i="1"/>
  <c r="H99" i="1" s="1"/>
  <c r="G90" i="1"/>
  <c r="H90" i="1" s="1"/>
  <c r="G76" i="1"/>
  <c r="G70" i="1"/>
  <c r="H70" i="1" s="1"/>
  <c r="G60" i="1"/>
  <c r="H60" i="1" s="1"/>
  <c r="G55" i="1"/>
  <c r="H55" i="1" s="1"/>
  <c r="G51" i="1"/>
  <c r="H51" i="1" s="1"/>
  <c r="G39" i="1"/>
  <c r="H39" i="1" s="1"/>
  <c r="G33" i="1"/>
  <c r="H33" i="1" s="1"/>
  <c r="G30" i="1"/>
  <c r="C30" i="1"/>
  <c r="I29" i="2"/>
  <c r="I26" i="2"/>
  <c r="I15" i="2"/>
  <c r="I25" i="2" l="1"/>
  <c r="I8" i="2" s="1"/>
  <c r="I32" i="2"/>
  <c r="I48" i="2"/>
  <c r="Y29" i="2"/>
  <c r="Y25" i="2" s="1"/>
  <c r="Y8" i="2" s="1"/>
  <c r="Y32" i="2"/>
  <c r="Y31" i="2" s="1"/>
  <c r="Y30" i="2" s="1"/>
  <c r="H30" i="1"/>
  <c r="H126" i="1"/>
  <c r="H118" i="1"/>
  <c r="H110" i="1"/>
  <c r="AD29" i="2"/>
  <c r="AD25" i="2" s="1"/>
  <c r="O19" i="2"/>
  <c r="N19" i="2"/>
  <c r="N8" i="2" s="1"/>
  <c r="Q16" i="2"/>
  <c r="Q15" i="2" s="1"/>
  <c r="Q8" i="2" s="1"/>
  <c r="O15" i="2"/>
  <c r="I31" i="2" l="1"/>
  <c r="I30" i="2" s="1"/>
  <c r="O8" i="2"/>
  <c r="AE36" i="2"/>
  <c r="AF36" i="2" s="1"/>
  <c r="AD16" i="2"/>
  <c r="AD20" i="2"/>
  <c r="AE29" i="2"/>
  <c r="AF29" i="2" s="1"/>
  <c r="L19" i="2"/>
  <c r="M25" i="2"/>
  <c r="Y98" i="2"/>
  <c r="L15" i="2"/>
  <c r="U32" i="2"/>
  <c r="S25" i="2"/>
  <c r="S8" i="2" s="1"/>
  <c r="G143" i="1"/>
  <c r="G142" i="1"/>
  <c r="AD139" i="1"/>
  <c r="AC139" i="1"/>
  <c r="AB139" i="1"/>
  <c r="AD138" i="1"/>
  <c r="AC138" i="1"/>
  <c r="AB138" i="1"/>
  <c r="D135" i="1"/>
  <c r="G139" i="1"/>
  <c r="H138" i="1"/>
  <c r="F135" i="1"/>
  <c r="E135" i="1"/>
  <c r="C139" i="1"/>
  <c r="C135" i="1" s="1"/>
  <c r="G136" i="1"/>
  <c r="G137" i="1"/>
  <c r="L8" i="2" l="1"/>
  <c r="L98" i="2" s="1"/>
  <c r="AF20" i="2"/>
  <c r="AD15" i="2"/>
  <c r="AF16" i="2"/>
  <c r="AE139" i="1"/>
  <c r="H143" i="1"/>
  <c r="AE138" i="1"/>
  <c r="H142" i="1"/>
  <c r="H136" i="1"/>
  <c r="H137" i="1"/>
  <c r="G135" i="1"/>
  <c r="AA136" i="1" l="1"/>
  <c r="N136" i="1"/>
  <c r="T136" i="1"/>
  <c r="AA137" i="1"/>
  <c r="N137" i="1"/>
  <c r="T137" i="1"/>
  <c r="H135" i="1"/>
  <c r="AB132" i="1"/>
  <c r="AC132" i="1"/>
  <c r="AD132" i="1"/>
  <c r="G117" i="1"/>
  <c r="AC117" i="1"/>
  <c r="AF117" i="1"/>
  <c r="C117" i="1"/>
  <c r="AD131" i="1"/>
  <c r="AF131" i="1"/>
  <c r="C131" i="1"/>
  <c r="G131" i="1"/>
  <c r="AE132" i="1" l="1"/>
  <c r="S131" i="1"/>
  <c r="V117" i="1"/>
  <c r="P131" i="1"/>
  <c r="O117" i="1"/>
  <c r="AB117" i="1" s="1"/>
  <c r="AA117" i="1"/>
  <c r="AD117" i="1" s="1"/>
  <c r="M131" i="1"/>
  <c r="AB131" i="1" s="1"/>
  <c r="H117" i="1"/>
  <c r="H131" i="1"/>
  <c r="AE117" i="1" l="1"/>
  <c r="AA84" i="2"/>
  <c r="AA79" i="2" s="1"/>
  <c r="AA74" i="2" s="1"/>
  <c r="AA69" i="2" s="1"/>
  <c r="AA59" i="2" s="1"/>
  <c r="AA58" i="2" s="1"/>
  <c r="T84" i="2"/>
  <c r="T79" i="2" s="1"/>
  <c r="T74" i="2" s="1"/>
  <c r="T69" i="2" s="1"/>
  <c r="T59" i="2" s="1"/>
  <c r="T58" i="2" s="1"/>
  <c r="N84" i="2"/>
  <c r="N79" i="2" s="1"/>
  <c r="N74" i="2" s="1"/>
  <c r="N69" i="2" s="1"/>
  <c r="N59" i="2" s="1"/>
  <c r="N58" i="2" s="1"/>
  <c r="AA53" i="2"/>
  <c r="AA31" i="2" s="1"/>
  <c r="AC131" i="1"/>
  <c r="AE131" i="1" s="1"/>
  <c r="G130" i="1"/>
  <c r="AA30" i="2" l="1"/>
  <c r="O53" i="2"/>
  <c r="V53" i="2"/>
  <c r="D130" i="1"/>
  <c r="AD130" i="1"/>
  <c r="AC129" i="1"/>
  <c r="AB129" i="1"/>
  <c r="AB128" i="1"/>
  <c r="AF130" i="1"/>
  <c r="C130" i="1"/>
  <c r="G129" i="1"/>
  <c r="AF129" i="1"/>
  <c r="C129" i="1"/>
  <c r="AB125" i="1"/>
  <c r="AF125" i="1"/>
  <c r="C125" i="1"/>
  <c r="G125" i="1"/>
  <c r="Y128" i="1"/>
  <c r="AD128" i="1" s="1"/>
  <c r="U128" i="1"/>
  <c r="AC128" i="1" s="1"/>
  <c r="G128" i="1"/>
  <c r="AD124" i="1"/>
  <c r="AB124" i="1"/>
  <c r="AC123" i="1"/>
  <c r="AB123" i="1"/>
  <c r="AF124" i="1"/>
  <c r="C124" i="1"/>
  <c r="G124" i="1"/>
  <c r="AF123" i="1"/>
  <c r="C123" i="1"/>
  <c r="G123" i="1"/>
  <c r="AD118" i="1"/>
  <c r="AC118" i="1"/>
  <c r="AB118" i="1"/>
  <c r="AD116" i="1"/>
  <c r="AC116" i="1"/>
  <c r="AD115" i="1"/>
  <c r="AB115" i="1"/>
  <c r="F114" i="1"/>
  <c r="E114" i="1"/>
  <c r="AE84" i="2" l="1"/>
  <c r="Z59" i="2"/>
  <c r="Z58" i="2" s="1"/>
  <c r="X59" i="2"/>
  <c r="AF122" i="1"/>
  <c r="S124" i="1"/>
  <c r="AC124" i="1" s="1"/>
  <c r="AE124" i="1" s="1"/>
  <c r="AF127" i="1"/>
  <c r="D127" i="1"/>
  <c r="V123" i="1"/>
  <c r="AD123" i="1" s="1"/>
  <c r="AE123" i="1" s="1"/>
  <c r="C122" i="1"/>
  <c r="V129" i="1"/>
  <c r="C127" i="1"/>
  <c r="AD114" i="1"/>
  <c r="H128" i="1"/>
  <c r="G127" i="1"/>
  <c r="H125" i="1"/>
  <c r="Q130" i="1"/>
  <c r="N130" i="1"/>
  <c r="AB130" i="1" s="1"/>
  <c r="P130" i="1"/>
  <c r="H130" i="1"/>
  <c r="U125" i="1"/>
  <c r="AC125" i="1" s="1"/>
  <c r="Z125" i="1"/>
  <c r="H129" i="1"/>
  <c r="Z129" i="1"/>
  <c r="AE118" i="1"/>
  <c r="X125" i="1"/>
  <c r="AE128" i="1"/>
  <c r="H124" i="1"/>
  <c r="H123" i="1"/>
  <c r="X58" i="2" l="1"/>
  <c r="X30" i="2" s="1"/>
  <c r="AE79" i="2"/>
  <c r="S59" i="2"/>
  <c r="U59" i="2"/>
  <c r="U58" i="2" s="1"/>
  <c r="V61" i="2"/>
  <c r="AE61" i="2" s="1"/>
  <c r="AF61" i="2" s="1"/>
  <c r="AF59" i="2" s="1"/>
  <c r="AF58" i="2" s="1"/>
  <c r="AC130" i="1"/>
  <c r="AC127" i="1" s="1"/>
  <c r="AD129" i="1"/>
  <c r="AD127" i="1" s="1"/>
  <c r="AD125" i="1"/>
  <c r="AD122" i="1" s="1"/>
  <c r="C121" i="1"/>
  <c r="P98" i="2"/>
  <c r="AF121" i="1"/>
  <c r="H127" i="1"/>
  <c r="AB127" i="1"/>
  <c r="AC122" i="1"/>
  <c r="D116" i="1"/>
  <c r="G116" i="1"/>
  <c r="AF116" i="1"/>
  <c r="C116" i="1"/>
  <c r="AF115" i="1"/>
  <c r="C115" i="1"/>
  <c r="G115" i="1"/>
  <c r="AD110" i="1"/>
  <c r="AC110" i="1"/>
  <c r="AB110" i="1"/>
  <c r="F106" i="1"/>
  <c r="E106" i="1"/>
  <c r="S58" i="2" l="1"/>
  <c r="S30" i="2" s="1"/>
  <c r="S98" i="2" s="1"/>
  <c r="AE74" i="2"/>
  <c r="V59" i="2"/>
  <c r="V58" i="2" s="1"/>
  <c r="AE129" i="1"/>
  <c r="AE130" i="1"/>
  <c r="AE125" i="1"/>
  <c r="AE122" i="1" s="1"/>
  <c r="C114" i="1"/>
  <c r="AE110" i="1"/>
  <c r="G114" i="1"/>
  <c r="N116" i="1"/>
  <c r="AB116" i="1" s="1"/>
  <c r="D114" i="1"/>
  <c r="U115" i="1"/>
  <c r="AC115" i="1" s="1"/>
  <c r="AF114" i="1"/>
  <c r="AF113" i="1" s="1"/>
  <c r="H116" i="1"/>
  <c r="H115" i="1"/>
  <c r="G109" i="1"/>
  <c r="AE127" i="1" l="1"/>
  <c r="AE69" i="2"/>
  <c r="N53" i="2"/>
  <c r="U57" i="2"/>
  <c r="AE57" i="2" s="1"/>
  <c r="H114" i="1"/>
  <c r="AC114" i="1"/>
  <c r="AE115" i="1"/>
  <c r="AE116" i="1"/>
  <c r="AB114" i="1"/>
  <c r="D109" i="1"/>
  <c r="AF109" i="1"/>
  <c r="C109" i="1"/>
  <c r="AD108" i="1"/>
  <c r="AC108" i="1"/>
  <c r="AB108" i="1"/>
  <c r="AD107" i="1"/>
  <c r="AC107" i="1"/>
  <c r="AB107" i="1"/>
  <c r="G108" i="1"/>
  <c r="G107" i="1"/>
  <c r="AF107" i="1"/>
  <c r="C107" i="1"/>
  <c r="AF57" i="2" l="1"/>
  <c r="AF53" i="2" s="1"/>
  <c r="AE53" i="2"/>
  <c r="AE59" i="2"/>
  <c r="U53" i="2"/>
  <c r="R48" i="2"/>
  <c r="C106" i="1"/>
  <c r="AF106" i="1"/>
  <c r="AF105" i="1" s="1"/>
  <c r="H108" i="1"/>
  <c r="AE108" i="1"/>
  <c r="AE114" i="1"/>
  <c r="H107" i="1"/>
  <c r="G106" i="1"/>
  <c r="AE107" i="1"/>
  <c r="D106" i="1"/>
  <c r="R109" i="1"/>
  <c r="AC109" i="1" s="1"/>
  <c r="AC106" i="1" s="1"/>
  <c r="V109" i="1"/>
  <c r="AD109" i="1" s="1"/>
  <c r="AD106" i="1" s="1"/>
  <c r="N109" i="1"/>
  <c r="AB109" i="1" s="1"/>
  <c r="H109" i="1"/>
  <c r="AD102" i="1"/>
  <c r="AC102" i="1"/>
  <c r="AB102" i="1"/>
  <c r="AB101" i="1"/>
  <c r="AD99" i="1"/>
  <c r="AC99" i="1"/>
  <c r="AB99" i="1"/>
  <c r="AD98" i="1"/>
  <c r="AD90" i="1"/>
  <c r="AC90" i="1"/>
  <c r="AB90" i="1"/>
  <c r="D100" i="1"/>
  <c r="E100" i="1"/>
  <c r="F100" i="1"/>
  <c r="D97" i="1"/>
  <c r="E97" i="1"/>
  <c r="F97" i="1"/>
  <c r="AF98" i="1"/>
  <c r="C98" i="1"/>
  <c r="G98" i="1"/>
  <c r="G101" i="1"/>
  <c r="AF101" i="1"/>
  <c r="C101" i="1"/>
  <c r="AB89" i="1"/>
  <c r="AC89" i="1"/>
  <c r="AD89" i="1"/>
  <c r="D84" i="1"/>
  <c r="G89" i="1"/>
  <c r="E84" i="1"/>
  <c r="F84" i="1"/>
  <c r="F83" i="1" s="1"/>
  <c r="G93" i="1"/>
  <c r="G92" i="1"/>
  <c r="AF92" i="1"/>
  <c r="C92" i="1"/>
  <c r="AF93" i="1"/>
  <c r="C93" i="1"/>
  <c r="AD88" i="1"/>
  <c r="AC88" i="1"/>
  <c r="AB88" i="1"/>
  <c r="AC87" i="1"/>
  <c r="AB87" i="1"/>
  <c r="AB86" i="1"/>
  <c r="AC85" i="1"/>
  <c r="AB85" i="1"/>
  <c r="C88" i="1"/>
  <c r="G88" i="1"/>
  <c r="AF87" i="1"/>
  <c r="C87" i="1"/>
  <c r="G87" i="1"/>
  <c r="Y86" i="1"/>
  <c r="AD86" i="1" s="1"/>
  <c r="U86" i="1"/>
  <c r="AC86" i="1" s="1"/>
  <c r="G86" i="1"/>
  <c r="AF85" i="1"/>
  <c r="C85" i="1"/>
  <c r="G85" i="1"/>
  <c r="U31" i="2" l="1"/>
  <c r="U30" i="2" s="1"/>
  <c r="AE58" i="2"/>
  <c r="N48" i="2"/>
  <c r="V48" i="2"/>
  <c r="AE47" i="2"/>
  <c r="V87" i="1"/>
  <c r="AF100" i="1"/>
  <c r="AF97" i="1"/>
  <c r="AD47" i="2"/>
  <c r="AD43" i="2" s="1"/>
  <c r="C97" i="1"/>
  <c r="D83" i="1"/>
  <c r="G100" i="1"/>
  <c r="G97" i="1"/>
  <c r="E83" i="1"/>
  <c r="H86" i="1"/>
  <c r="H89" i="1"/>
  <c r="AB84" i="1"/>
  <c r="AE90" i="1"/>
  <c r="AE102" i="1"/>
  <c r="H106" i="1"/>
  <c r="AD97" i="1"/>
  <c r="AE109" i="1"/>
  <c r="AE106" i="1" s="1"/>
  <c r="AB106" i="1"/>
  <c r="H85" i="1"/>
  <c r="C84" i="1"/>
  <c r="AF84" i="1"/>
  <c r="AF83" i="1" s="1"/>
  <c r="Q101" i="1"/>
  <c r="AC101" i="1" s="1"/>
  <c r="AC100" i="1" s="1"/>
  <c r="C100" i="1"/>
  <c r="AB100" i="1"/>
  <c r="G84" i="1"/>
  <c r="G83" i="1" s="1"/>
  <c r="AE86" i="1"/>
  <c r="AC84" i="1"/>
  <c r="AE88" i="1"/>
  <c r="E96" i="1"/>
  <c r="AE99" i="1"/>
  <c r="F96" i="1"/>
  <c r="D96" i="1"/>
  <c r="AE89" i="1"/>
  <c r="H101" i="1"/>
  <c r="W101" i="1"/>
  <c r="AD101" i="1" s="1"/>
  <c r="AD100" i="1" s="1"/>
  <c r="H98" i="1"/>
  <c r="O98" i="1"/>
  <c r="AB98" i="1" s="1"/>
  <c r="AB97" i="1" s="1"/>
  <c r="T98" i="1"/>
  <c r="R98" i="1"/>
  <c r="Z87" i="1"/>
  <c r="W85" i="1"/>
  <c r="AD85" i="1" s="1"/>
  <c r="H88" i="1"/>
  <c r="H87" i="1"/>
  <c r="D73" i="1"/>
  <c r="E73" i="1"/>
  <c r="F73" i="1"/>
  <c r="E68" i="1"/>
  <c r="F68" i="1"/>
  <c r="D64" i="1"/>
  <c r="E64" i="1"/>
  <c r="F64" i="1"/>
  <c r="C76" i="1"/>
  <c r="AB76" i="1"/>
  <c r="AC76" i="1"/>
  <c r="AD76" i="1"/>
  <c r="AB70" i="1"/>
  <c r="AC70" i="1"/>
  <c r="AD70" i="1"/>
  <c r="AB67" i="1"/>
  <c r="AC67" i="1"/>
  <c r="AD67" i="1"/>
  <c r="G79" i="1"/>
  <c r="G78" i="1"/>
  <c r="AF79" i="1"/>
  <c r="C79" i="1"/>
  <c r="G72" i="1"/>
  <c r="AF72" i="1"/>
  <c r="C72" i="1"/>
  <c r="AF96" i="1" l="1"/>
  <c r="AF82" i="1" s="1"/>
  <c r="AD87" i="1"/>
  <c r="AE87" i="1" s="1"/>
  <c r="N31" i="2"/>
  <c r="N30" i="2" s="1"/>
  <c r="N98" i="2" s="1"/>
  <c r="AF47" i="2"/>
  <c r="AF43" i="2" s="1"/>
  <c r="AE43" i="2"/>
  <c r="W43" i="2"/>
  <c r="Q43" i="2"/>
  <c r="W35" i="2"/>
  <c r="AE35" i="2" s="1"/>
  <c r="C30" i="2"/>
  <c r="T42" i="2"/>
  <c r="AE42" i="2" s="1"/>
  <c r="Z32" i="2"/>
  <c r="H76" i="1"/>
  <c r="R37" i="2"/>
  <c r="AD42" i="2"/>
  <c r="AD37" i="2" s="1"/>
  <c r="AD31" i="2" s="1"/>
  <c r="AD30" i="2" s="1"/>
  <c r="AC98" i="1"/>
  <c r="AC97" i="1" s="1"/>
  <c r="G96" i="1"/>
  <c r="H100" i="1"/>
  <c r="C96" i="1"/>
  <c r="H97" i="1"/>
  <c r="H84" i="1"/>
  <c r="AE76" i="1"/>
  <c r="AE101" i="1"/>
  <c r="AE100" i="1" s="1"/>
  <c r="AE67" i="1"/>
  <c r="E63" i="1"/>
  <c r="F63" i="1"/>
  <c r="AE85" i="1"/>
  <c r="AE84" i="1" s="1"/>
  <c r="AE70" i="1"/>
  <c r="AD84" i="1" l="1"/>
  <c r="AF42" i="2"/>
  <c r="AF37" i="2" s="1"/>
  <c r="AE37" i="2"/>
  <c r="Z31" i="2"/>
  <c r="Z30" i="2" s="1"/>
  <c r="Q31" i="2"/>
  <c r="Q30" i="2" s="1"/>
  <c r="Q98" i="2" s="1"/>
  <c r="R31" i="2"/>
  <c r="R30" i="2" s="1"/>
  <c r="R98" i="2" s="1"/>
  <c r="AF35" i="2"/>
  <c r="AF32" i="2" s="1"/>
  <c r="AE32" i="2"/>
  <c r="O37" i="2"/>
  <c r="W32" i="2"/>
  <c r="V32" i="2"/>
  <c r="T37" i="2"/>
  <c r="AE98" i="1"/>
  <c r="AE97" i="1" s="1"/>
  <c r="H96" i="1"/>
  <c r="H83" i="1"/>
  <c r="Q12" i="1"/>
  <c r="O12" i="1"/>
  <c r="L12" i="1"/>
  <c r="Y29" i="1"/>
  <c r="S29" i="1"/>
  <c r="M29" i="1"/>
  <c r="AF66" i="1"/>
  <c r="AC66" i="1"/>
  <c r="AB66" i="1"/>
  <c r="G66" i="1"/>
  <c r="C66" i="1"/>
  <c r="AD65" i="1"/>
  <c r="AF65" i="1"/>
  <c r="C65" i="1"/>
  <c r="G65" i="1"/>
  <c r="AD75" i="1"/>
  <c r="AD69" i="1"/>
  <c r="AD68" i="1" s="1"/>
  <c r="AB74" i="1"/>
  <c r="G75" i="1"/>
  <c r="AF75" i="1"/>
  <c r="C75" i="1"/>
  <c r="AE31" i="2" l="1"/>
  <c r="AE30" i="2" s="1"/>
  <c r="AF31" i="2"/>
  <c r="AF30" i="2" s="1"/>
  <c r="T31" i="2"/>
  <c r="T30" i="2" s="1"/>
  <c r="T98" i="2" s="1"/>
  <c r="V31" i="2"/>
  <c r="V30" i="2" s="1"/>
  <c r="V98" i="2" s="1"/>
  <c r="O31" i="2"/>
  <c r="O30" i="2" s="1"/>
  <c r="O98" i="2" s="1"/>
  <c r="W31" i="2"/>
  <c r="W30" i="2" s="1"/>
  <c r="S75" i="1"/>
  <c r="AF64" i="1"/>
  <c r="Y66" i="1"/>
  <c r="G64" i="1"/>
  <c r="Q65" i="1"/>
  <c r="C64" i="1"/>
  <c r="H75" i="1"/>
  <c r="Q75" i="1"/>
  <c r="N65" i="1"/>
  <c r="AB65" i="1" s="1"/>
  <c r="AB64" i="1" s="1"/>
  <c r="S65" i="1"/>
  <c r="V66" i="1"/>
  <c r="AA66" i="1"/>
  <c r="M75" i="1"/>
  <c r="AB75" i="1" s="1"/>
  <c r="AB73" i="1" s="1"/>
  <c r="H66" i="1"/>
  <c r="H65" i="1"/>
  <c r="D69" i="1"/>
  <c r="AF69" i="1"/>
  <c r="C69" i="1"/>
  <c r="G74" i="1"/>
  <c r="AF74" i="1"/>
  <c r="C74" i="1"/>
  <c r="E56" i="1"/>
  <c r="F56" i="1"/>
  <c r="E52" i="1"/>
  <c r="F52" i="1"/>
  <c r="D48" i="1"/>
  <c r="E48" i="1"/>
  <c r="F48" i="1"/>
  <c r="AF59" i="1"/>
  <c r="AC59" i="1"/>
  <c r="AB59" i="1"/>
  <c r="G59" i="1"/>
  <c r="C59" i="1"/>
  <c r="AF58" i="1"/>
  <c r="AC58" i="1"/>
  <c r="AB58" i="1"/>
  <c r="G58" i="1"/>
  <c r="C58" i="1"/>
  <c r="AF57" i="1"/>
  <c r="AD57" i="1"/>
  <c r="AC57" i="1"/>
  <c r="AB57" i="1"/>
  <c r="G57" i="1"/>
  <c r="D57" i="1"/>
  <c r="C57" i="1"/>
  <c r="AF54" i="1"/>
  <c r="AD54" i="1"/>
  <c r="AC54" i="1"/>
  <c r="AB54" i="1"/>
  <c r="G54" i="1"/>
  <c r="C54" i="1"/>
  <c r="AF53" i="1"/>
  <c r="AD53" i="1"/>
  <c r="AB53" i="1"/>
  <c r="G53" i="1"/>
  <c r="D53" i="1"/>
  <c r="C53" i="1"/>
  <c r="AD50" i="1"/>
  <c r="Q50" i="1"/>
  <c r="AC50" i="1" s="1"/>
  <c r="N50" i="1"/>
  <c r="AB50" i="1" s="1"/>
  <c r="S144" i="1" l="1"/>
  <c r="AC75" i="1"/>
  <c r="AE75" i="1" s="1"/>
  <c r="AD52" i="1"/>
  <c r="C52" i="1"/>
  <c r="D52" i="1"/>
  <c r="AF52" i="1"/>
  <c r="D56" i="1"/>
  <c r="Z58" i="1"/>
  <c r="AF73" i="1"/>
  <c r="C68" i="1"/>
  <c r="D68" i="1"/>
  <c r="D63" i="1" s="1"/>
  <c r="Z59" i="1"/>
  <c r="AF68" i="1"/>
  <c r="Q144" i="1"/>
  <c r="AC65" i="1"/>
  <c r="AC64" i="1" s="1"/>
  <c r="G73" i="1"/>
  <c r="H64" i="1"/>
  <c r="AB52" i="1"/>
  <c r="AB56" i="1"/>
  <c r="R74" i="1"/>
  <c r="C73" i="1"/>
  <c r="G52" i="1"/>
  <c r="C56" i="1"/>
  <c r="G56" i="1"/>
  <c r="AF56" i="1"/>
  <c r="AD66" i="1"/>
  <c r="H74" i="1"/>
  <c r="W74" i="1"/>
  <c r="AD74" i="1" s="1"/>
  <c r="G69" i="1"/>
  <c r="N69" i="1"/>
  <c r="AB69" i="1" s="1"/>
  <c r="AB68" i="1" s="1"/>
  <c r="U69" i="1"/>
  <c r="AC69" i="1" s="1"/>
  <c r="AC56" i="1"/>
  <c r="AE50" i="1"/>
  <c r="H57" i="1"/>
  <c r="AE57" i="1"/>
  <c r="H54" i="1"/>
  <c r="H53" i="1"/>
  <c r="P53" i="1"/>
  <c r="AE54" i="1"/>
  <c r="V58" i="1"/>
  <c r="V59" i="1"/>
  <c r="H58" i="1"/>
  <c r="H59" i="1"/>
  <c r="G50" i="1"/>
  <c r="AF50" i="1"/>
  <c r="C50" i="1"/>
  <c r="AF63" i="1" l="1"/>
  <c r="AE65" i="1"/>
  <c r="AD59" i="1"/>
  <c r="AE59" i="1" s="1"/>
  <c r="AD58" i="1"/>
  <c r="AE58" i="1" s="1"/>
  <c r="AC74" i="1"/>
  <c r="AC73" i="1" s="1"/>
  <c r="R144" i="1"/>
  <c r="AC53" i="1"/>
  <c r="AC52" i="1" s="1"/>
  <c r="P144" i="1"/>
  <c r="C63" i="1"/>
  <c r="H73" i="1"/>
  <c r="H50" i="1"/>
  <c r="AE69" i="1"/>
  <c r="AE68" i="1" s="1"/>
  <c r="AC68" i="1"/>
  <c r="AD73" i="1"/>
  <c r="AE66" i="1"/>
  <c r="AE64" i="1" s="1"/>
  <c r="AD64" i="1"/>
  <c r="H69" i="1"/>
  <c r="G68" i="1"/>
  <c r="G63" i="1" s="1"/>
  <c r="H56" i="1"/>
  <c r="H52" i="1"/>
  <c r="AD49" i="1"/>
  <c r="AD48" i="1" s="1"/>
  <c r="AB49" i="1"/>
  <c r="AB48" i="1" s="1"/>
  <c r="AF49" i="1"/>
  <c r="C49" i="1"/>
  <c r="G49" i="1"/>
  <c r="AD43" i="1"/>
  <c r="AC43" i="1"/>
  <c r="AB43" i="1"/>
  <c r="G43" i="1"/>
  <c r="AD44" i="1"/>
  <c r="AC44" i="1"/>
  <c r="AB44" i="1"/>
  <c r="AB32" i="1"/>
  <c r="AB31" i="1" s="1"/>
  <c r="F16" i="1"/>
  <c r="D11" i="1"/>
  <c r="E11" i="1"/>
  <c r="F11" i="1"/>
  <c r="D9" i="1"/>
  <c r="E9" i="1"/>
  <c r="F9" i="1"/>
  <c r="C44" i="1"/>
  <c r="E40" i="1"/>
  <c r="F40" i="1"/>
  <c r="D34" i="1"/>
  <c r="E34" i="1"/>
  <c r="F34" i="1"/>
  <c r="D31" i="1"/>
  <c r="E31" i="1"/>
  <c r="F31" i="1"/>
  <c r="D27" i="1"/>
  <c r="E27" i="1"/>
  <c r="F27" i="1"/>
  <c r="AE56" i="1" l="1"/>
  <c r="AD63" i="1"/>
  <c r="AD56" i="1"/>
  <c r="AE53" i="1"/>
  <c r="AE52" i="1" s="1"/>
  <c r="AE74" i="1"/>
  <c r="AE73" i="1" s="1"/>
  <c r="AE63" i="1" s="1"/>
  <c r="AC63" i="1"/>
  <c r="C48" i="1"/>
  <c r="C47" i="1" s="1"/>
  <c r="AF48" i="1"/>
  <c r="AF47" i="1" s="1"/>
  <c r="H68" i="1"/>
  <c r="G48" i="1"/>
  <c r="H43" i="1"/>
  <c r="F8" i="1"/>
  <c r="E8" i="1"/>
  <c r="H49" i="1"/>
  <c r="AE43" i="1"/>
  <c r="T49" i="1"/>
  <c r="AE44" i="1"/>
  <c r="G44" i="1"/>
  <c r="AD42" i="1"/>
  <c r="AC42" i="1"/>
  <c r="N42" i="1"/>
  <c r="M42" i="1"/>
  <c r="G42" i="1"/>
  <c r="D42" i="1"/>
  <c r="AD41" i="1"/>
  <c r="AB41" i="1"/>
  <c r="G41" i="1"/>
  <c r="C41" i="1"/>
  <c r="AC38" i="1"/>
  <c r="AB38" i="1"/>
  <c r="G38" i="1"/>
  <c r="C38" i="1"/>
  <c r="AC37" i="1"/>
  <c r="AB37" i="1"/>
  <c r="G37" i="1"/>
  <c r="C37" i="1"/>
  <c r="AB36" i="1"/>
  <c r="Y36" i="1"/>
  <c r="U36" i="1"/>
  <c r="AC36" i="1" s="1"/>
  <c r="G36" i="1"/>
  <c r="AD35" i="1"/>
  <c r="AC35" i="1"/>
  <c r="AB35" i="1"/>
  <c r="G35" i="1"/>
  <c r="C35" i="1"/>
  <c r="G32" i="1"/>
  <c r="C32" i="1"/>
  <c r="AD29" i="1"/>
  <c r="AC29" i="1"/>
  <c r="AB29" i="1"/>
  <c r="G29" i="1"/>
  <c r="G28" i="1"/>
  <c r="C28" i="1"/>
  <c r="AB28" i="1"/>
  <c r="AB15" i="1"/>
  <c r="AC15" i="1"/>
  <c r="AD15" i="1"/>
  <c r="AC13" i="1"/>
  <c r="AD10" i="1"/>
  <c r="AC10" i="1"/>
  <c r="AB10" i="1"/>
  <c r="Z26" i="2" l="1"/>
  <c r="Z25" i="2" s="1"/>
  <c r="Z8" i="2" s="1"/>
  <c r="Z98" i="2" s="1"/>
  <c r="X25" i="2"/>
  <c r="X8" i="2" s="1"/>
  <c r="X98" i="2" s="1"/>
  <c r="AD40" i="1"/>
  <c r="AD36" i="1"/>
  <c r="AE36" i="1" s="1"/>
  <c r="Y144" i="1"/>
  <c r="W37" i="1"/>
  <c r="Z38" i="1"/>
  <c r="D40" i="1"/>
  <c r="AC49" i="1"/>
  <c r="AE49" i="1" s="1"/>
  <c r="AE48" i="1" s="1"/>
  <c r="T144" i="1"/>
  <c r="H63" i="1"/>
  <c r="H48" i="1"/>
  <c r="H44" i="1"/>
  <c r="H36" i="1"/>
  <c r="G31" i="1"/>
  <c r="H29" i="1"/>
  <c r="AB27" i="1"/>
  <c r="G34" i="1"/>
  <c r="G40" i="1"/>
  <c r="AC34" i="1"/>
  <c r="Z32" i="1"/>
  <c r="C31" i="1"/>
  <c r="Z28" i="1"/>
  <c r="C27" i="1"/>
  <c r="U41" i="1"/>
  <c r="AC41" i="1" s="1"/>
  <c r="AC40" i="1" s="1"/>
  <c r="C40" i="1"/>
  <c r="G27" i="1"/>
  <c r="C34" i="1"/>
  <c r="AB34" i="1"/>
  <c r="H35" i="1"/>
  <c r="AE35" i="1"/>
  <c r="H42" i="1"/>
  <c r="AB42" i="1"/>
  <c r="AE42" i="1" s="1"/>
  <c r="AE10" i="1"/>
  <c r="X28" i="1"/>
  <c r="V38" i="1"/>
  <c r="H28" i="1"/>
  <c r="AE29" i="1"/>
  <c r="H41" i="1"/>
  <c r="H37" i="1"/>
  <c r="AA37" i="1"/>
  <c r="H38" i="1"/>
  <c r="H32" i="1"/>
  <c r="X32" i="1"/>
  <c r="U32" i="1"/>
  <c r="AC32" i="1" s="1"/>
  <c r="AE15" i="1"/>
  <c r="U28" i="1"/>
  <c r="AE26" i="2" l="1"/>
  <c r="U25" i="2"/>
  <c r="U8" i="2" s="1"/>
  <c r="U98" i="2" s="1"/>
  <c r="AE41" i="1"/>
  <c r="AE40" i="1" s="1"/>
  <c r="Z144" i="1"/>
  <c r="AC48" i="1"/>
  <c r="AD37" i="1"/>
  <c r="AE37" i="1" s="1"/>
  <c r="AC28" i="1"/>
  <c r="AC27" i="1" s="1"/>
  <c r="U144" i="1"/>
  <c r="AD28" i="1"/>
  <c r="AD27" i="1" s="1"/>
  <c r="X144" i="1"/>
  <c r="AD38" i="1"/>
  <c r="AE38" i="1" s="1"/>
  <c r="V144" i="1"/>
  <c r="H40" i="1"/>
  <c r="H31" i="1"/>
  <c r="H27" i="1"/>
  <c r="AD32" i="1"/>
  <c r="AD31" i="1" s="1"/>
  <c r="C26" i="1"/>
  <c r="AC31" i="1"/>
  <c r="H34" i="1"/>
  <c r="AB40" i="1"/>
  <c r="AB26" i="1" s="1"/>
  <c r="AE25" i="2" l="1"/>
  <c r="AF26" i="2"/>
  <c r="AF25" i="2" s="1"/>
  <c r="AE28" i="1"/>
  <c r="AE27" i="1" s="1"/>
  <c r="AE34" i="1"/>
  <c r="AD34" i="1"/>
  <c r="H26" i="1"/>
  <c r="AE32" i="1"/>
  <c r="AE31" i="1" s="1"/>
  <c r="C15" i="1" l="1"/>
  <c r="AD14" i="1"/>
  <c r="AC14" i="1"/>
  <c r="AB14" i="1"/>
  <c r="G14" i="1"/>
  <c r="C14" i="1"/>
  <c r="H14" i="1" l="1"/>
  <c r="AE14" i="1"/>
  <c r="AD19" i="1"/>
  <c r="AC19" i="1"/>
  <c r="AB19" i="1"/>
  <c r="G19" i="1"/>
  <c r="G15" i="1"/>
  <c r="C9" i="1"/>
  <c r="G10" i="1"/>
  <c r="AD23" i="1"/>
  <c r="AC23" i="1"/>
  <c r="AB23" i="1"/>
  <c r="G23" i="1"/>
  <c r="C23" i="1"/>
  <c r="AD22" i="1"/>
  <c r="AC22" i="1"/>
  <c r="AB22" i="1"/>
  <c r="G22" i="1"/>
  <c r="C22" i="1"/>
  <c r="AD21" i="1"/>
  <c r="AC21" i="1"/>
  <c r="AB21" i="1"/>
  <c r="G21" i="1"/>
  <c r="C21" i="1"/>
  <c r="AD18" i="1"/>
  <c r="AC18" i="1"/>
  <c r="G18" i="1"/>
  <c r="D18" i="1"/>
  <c r="C18" i="1"/>
  <c r="AF18" i="1" s="1"/>
  <c r="AF16" i="1" s="1"/>
  <c r="AF8" i="1" s="1"/>
  <c r="AF7" i="1" s="1"/>
  <c r="AD17" i="1"/>
  <c r="AC17" i="1"/>
  <c r="O17" i="1"/>
  <c r="O144" i="1" s="1"/>
  <c r="N17" i="1"/>
  <c r="N144" i="1" s="1"/>
  <c r="L17" i="1"/>
  <c r="L144" i="1" s="1"/>
  <c r="G17" i="1"/>
  <c r="AB13" i="1"/>
  <c r="G13" i="1"/>
  <c r="C13" i="1"/>
  <c r="AD12" i="1"/>
  <c r="AC12" i="1"/>
  <c r="AC11" i="1" s="1"/>
  <c r="AB12" i="1"/>
  <c r="G12" i="1"/>
  <c r="AE17" i="2" l="1"/>
  <c r="AA15" i="2"/>
  <c r="AA8" i="2" s="1"/>
  <c r="AA98" i="2" s="1"/>
  <c r="D16" i="1"/>
  <c r="C16" i="1"/>
  <c r="H19" i="1"/>
  <c r="H17" i="1"/>
  <c r="G16" i="1"/>
  <c r="H18" i="1"/>
  <c r="H15" i="1"/>
  <c r="H12" i="1"/>
  <c r="G11" i="1"/>
  <c r="H10" i="1"/>
  <c r="G9" i="1"/>
  <c r="W13" i="1"/>
  <c r="W144" i="1" s="1"/>
  <c r="H13" i="1"/>
  <c r="C11" i="1"/>
  <c r="AE12" i="1"/>
  <c r="AB11" i="1"/>
  <c r="AB17" i="1"/>
  <c r="AE17" i="1" s="1"/>
  <c r="AE21" i="1"/>
  <c r="AE23" i="1"/>
  <c r="AE19" i="1"/>
  <c r="AE22" i="1"/>
  <c r="M18" i="1"/>
  <c r="AA13" i="1"/>
  <c r="AA144" i="1" s="1"/>
  <c r="AF17" i="2" l="1"/>
  <c r="AF15" i="2" s="1"/>
  <c r="AE15" i="2"/>
  <c r="AE8" i="2" s="1"/>
  <c r="AE98" i="2" s="1"/>
  <c r="W15" i="2"/>
  <c r="W8" i="2" s="1"/>
  <c r="W98" i="2" s="1"/>
  <c r="G8" i="1"/>
  <c r="AB18" i="1"/>
  <c r="AE18" i="1" s="1"/>
  <c r="AE16" i="1" s="1"/>
  <c r="M144" i="1"/>
  <c r="AD21" i="2"/>
  <c r="D8" i="1"/>
  <c r="H16" i="1"/>
  <c r="AF144" i="1"/>
  <c r="C8" i="1"/>
  <c r="H9" i="1"/>
  <c r="H11" i="1"/>
  <c r="AD13" i="1"/>
  <c r="AF21" i="2" l="1"/>
  <c r="AF19" i="2" s="1"/>
  <c r="AF8" i="2" s="1"/>
  <c r="AF98" i="2" s="1"/>
  <c r="AD19" i="2"/>
  <c r="AD8" i="2" s="1"/>
  <c r="AD98" i="2" s="1"/>
  <c r="M19" i="2"/>
  <c r="M8" i="2" s="1"/>
  <c r="M98" i="2" s="1"/>
  <c r="H8" i="1"/>
  <c r="AE13" i="1"/>
  <c r="AE11" i="1" s="1"/>
  <c r="AD11" i="1"/>
  <c r="AE9" i="1"/>
  <c r="AD137" i="1"/>
  <c r="AC137" i="1"/>
  <c r="AB137" i="1"/>
  <c r="AD136" i="1"/>
  <c r="AC136" i="1"/>
  <c r="AB136" i="1"/>
  <c r="F122" i="1"/>
  <c r="F121" i="1" s="1"/>
  <c r="E122" i="1"/>
  <c r="F113" i="1"/>
  <c r="E113" i="1"/>
  <c r="C113" i="1"/>
  <c r="F105" i="1"/>
  <c r="E105" i="1"/>
  <c r="C105" i="1"/>
  <c r="C83" i="1"/>
  <c r="AD9" i="1"/>
  <c r="AC9" i="1"/>
  <c r="AB9" i="1"/>
  <c r="B4" i="1"/>
  <c r="B3" i="1"/>
  <c r="AE8" i="1" l="1"/>
  <c r="AC135" i="1"/>
  <c r="AB135" i="1"/>
  <c r="AD135" i="1"/>
  <c r="E121" i="1"/>
  <c r="E82" i="1" s="1"/>
  <c r="D113" i="1"/>
  <c r="F26" i="1"/>
  <c r="G105" i="1"/>
  <c r="AB96" i="1"/>
  <c r="D122" i="1"/>
  <c r="F47" i="1"/>
  <c r="C82" i="1"/>
  <c r="E26" i="1"/>
  <c r="G26" i="1"/>
  <c r="D47" i="1"/>
  <c r="E47" i="1"/>
  <c r="AB105" i="1"/>
  <c r="G113" i="1"/>
  <c r="G122" i="1"/>
  <c r="G121" i="1" s="1"/>
  <c r="F82" i="1"/>
  <c r="AD83" i="1"/>
  <c r="D105" i="1"/>
  <c r="AE136" i="1"/>
  <c r="AE137" i="1"/>
  <c r="AD16" i="1"/>
  <c r="AD8" i="1" s="1"/>
  <c r="AC16" i="1"/>
  <c r="AB16" i="1"/>
  <c r="AB113" i="1"/>
  <c r="AD96" i="1"/>
  <c r="AC113" i="1"/>
  <c r="AD113" i="1"/>
  <c r="AC96" i="1"/>
  <c r="AC105" i="1"/>
  <c r="AE135" i="1" l="1"/>
  <c r="D121" i="1"/>
  <c r="D82" i="1" s="1"/>
  <c r="E223" i="7" s="1"/>
  <c r="H105" i="1"/>
  <c r="E7" i="1"/>
  <c r="E144" i="1" s="1"/>
  <c r="F7" i="1"/>
  <c r="F144" i="1" s="1"/>
  <c r="AD121" i="1"/>
  <c r="AD105" i="1"/>
  <c r="G82" i="1"/>
  <c r="D26" i="1"/>
  <c r="D7" i="1" s="1"/>
  <c r="C7" i="1"/>
  <c r="C144" i="1" s="1"/>
  <c r="AC47" i="1"/>
  <c r="H47" i="1"/>
  <c r="AD26" i="1"/>
  <c r="AC83" i="1"/>
  <c r="AB8" i="1"/>
  <c r="G47" i="1"/>
  <c r="G7" i="1" s="1"/>
  <c r="G144" i="1" s="1"/>
  <c r="AC8" i="1"/>
  <c r="H122" i="1"/>
  <c r="H121" i="1" s="1"/>
  <c r="AC26" i="1"/>
  <c r="H113" i="1"/>
  <c r="AD47" i="1"/>
  <c r="AE83" i="1"/>
  <c r="AB83" i="1"/>
  <c r="AB47" i="1"/>
  <c r="AE96" i="1"/>
  <c r="AB122" i="1"/>
  <c r="AB121" i="1" s="1"/>
  <c r="AE113" i="1"/>
  <c r="AE105" i="1"/>
  <c r="AB63" i="1"/>
  <c r="D144" i="1" l="1"/>
  <c r="AD82" i="1"/>
  <c r="AD7" i="1"/>
  <c r="H82" i="1"/>
  <c r="AC7" i="1"/>
  <c r="AB7" i="1"/>
  <c r="H7" i="1"/>
  <c r="AC121" i="1"/>
  <c r="AC82" i="1" s="1"/>
  <c r="AE47" i="1"/>
  <c r="AE121" i="1"/>
  <c r="AE82" i="1" s="1"/>
  <c r="AE26" i="1"/>
  <c r="AB82" i="1"/>
  <c r="AC144" i="1" l="1"/>
  <c r="AD144" i="1"/>
  <c r="AB144" i="1"/>
  <c r="H144" i="1"/>
  <c r="AE7" i="1"/>
  <c r="AE144" i="1" s="1"/>
  <c r="C98" i="2" l="1"/>
  <c r="I98" i="2"/>
  <c r="C89" i="2"/>
  <c r="C88" i="2"/>
  <c r="I89" i="2"/>
  <c r="I88" i="2"/>
</calcChain>
</file>

<file path=xl/comments1.xml><?xml version="1.0" encoding="utf-8"?>
<comments xmlns="http://schemas.openxmlformats.org/spreadsheetml/2006/main">
  <authors>
    <author>TEODORON</author>
    <author>User</author>
  </authors>
  <commentList>
    <comment ref="D6" authorId="0" shapeId="0">
      <text>
        <r>
          <rPr>
            <b/>
            <sz val="8"/>
            <color indexed="81"/>
            <rFont val="Tahoma"/>
            <family val="2"/>
          </rPr>
          <t>TEODORON:</t>
        </r>
        <r>
          <rPr>
            <sz val="8"/>
            <color indexed="81"/>
            <rFont val="Tahoma"/>
            <family val="2"/>
          </rPr>
          <t xml:space="preserve">
Sólo se ingresa el monto cuando el contrato está firmado y/o no objeción del Banco
</t>
        </r>
      </text>
    </comment>
    <comment ref="H6" authorId="0" shapeId="0">
      <text>
        <r>
          <rPr>
            <b/>
            <sz val="8"/>
            <color indexed="81"/>
            <rFont val="Tahoma"/>
            <family val="2"/>
          </rPr>
          <t>TEODORON:</t>
        </r>
        <r>
          <rPr>
            <sz val="8"/>
            <color indexed="81"/>
            <rFont val="Tahoma"/>
            <family val="2"/>
          </rPr>
          <t xml:space="preserve">
Si el monto contratado de la actividad es diferente al presupuesto vigente - el saldo por programar es sobre la base del contratado.
Si todavía no se ha comntratado la actividad - el saldo por programar se calcula sobre la base del presupuesto vigente
Si hay gastos que no tienen contrato el saldo a programar se calcula sobre lo comprometido
</t>
        </r>
      </text>
    </comment>
    <comment ref="AC6" authorId="0" shapeId="0">
      <text>
        <r>
          <rPr>
            <b/>
            <sz val="8"/>
            <color indexed="81"/>
            <rFont val="Tahoma"/>
            <family val="2"/>
          </rPr>
          <t>TEODORON:</t>
        </r>
        <r>
          <rPr>
            <sz val="8"/>
            <color indexed="81"/>
            <rFont val="Tahoma"/>
            <family val="2"/>
          </rPr>
          <t xml:space="preserve">
Son periodos semestrales</t>
        </r>
      </text>
    </comment>
    <comment ref="AF88" authorId="1" shapeId="0">
      <text>
        <r>
          <rPr>
            <b/>
            <sz val="9"/>
            <color indexed="81"/>
            <rFont val="Tahoma"/>
            <family val="2"/>
          </rPr>
          <t>User:</t>
        </r>
        <r>
          <rPr>
            <sz val="9"/>
            <color indexed="81"/>
            <rFont val="Tahoma"/>
            <family val="2"/>
          </rPr>
          <t xml:space="preserve">
USD 2,440,500  ADICIONAL DE APORTE LOCAL= TOTAL APORTE LOCAL 3,564,000</t>
        </r>
      </text>
    </comment>
    <comment ref="B147" authorId="0" shapeId="0">
      <text>
        <r>
          <rPr>
            <b/>
            <sz val="8"/>
            <color indexed="81"/>
            <rFont val="Tahoma"/>
            <family val="2"/>
          </rPr>
          <t>TEODORON:</t>
        </r>
        <r>
          <rPr>
            <sz val="8"/>
            <color indexed="81"/>
            <rFont val="Tahoma"/>
            <family val="2"/>
          </rPr>
          <t xml:space="preserve">
Estos son los tiempos claves en la ejecución de una actividad.  Nos ayuda a afinar nuestro pronóstico</t>
        </r>
      </text>
    </comment>
  </commentList>
</comments>
</file>

<file path=xl/comments2.xml><?xml version="1.0" encoding="utf-8"?>
<comments xmlns="http://schemas.openxmlformats.org/spreadsheetml/2006/main">
  <authors>
    <author>Benítez, Hernán Marcelo</author>
  </authors>
  <commentList>
    <comment ref="G6" authorId="0" shapeId="0">
      <text>
        <r>
          <rPr>
            <b/>
            <sz val="9"/>
            <color indexed="81"/>
            <rFont val="Tahoma"/>
            <family val="2"/>
          </rPr>
          <t>Benítez, Hernán Marcelo:</t>
        </r>
        <r>
          <rPr>
            <sz val="9"/>
            <color indexed="81"/>
            <rFont val="Tahoma"/>
            <family val="2"/>
          </rPr>
          <t xml:space="preserve">
Sólo se ingresa el monto cuando el contrato está firmado y/o cuenta con no objeción de FONPLATA</t>
        </r>
      </text>
    </comment>
    <comment ref="B102" authorId="0" shapeId="0">
      <text>
        <r>
          <rPr>
            <b/>
            <sz val="9"/>
            <color indexed="81"/>
            <rFont val="Tahoma"/>
            <family val="2"/>
          </rPr>
          <t>Benítez, Hernán Marcelo:</t>
        </r>
        <r>
          <rPr>
            <sz val="9"/>
            <color indexed="81"/>
            <rFont val="Tahoma"/>
            <family val="2"/>
          </rPr>
          <t xml:space="preserve">
Estos son los tiempos claves en la ejecución de una actividad.  Nos ayuda a afinar nuestro pronóstico</t>
        </r>
      </text>
    </comment>
    <comment ref="B103" authorId="0" shapeId="0">
      <text>
        <r>
          <rPr>
            <b/>
            <sz val="9"/>
            <color indexed="81"/>
            <rFont val="Tahoma"/>
            <family val="2"/>
          </rPr>
          <t>Benítez, Hernán Marcelo:</t>
        </r>
        <r>
          <rPr>
            <sz val="9"/>
            <color indexed="81"/>
            <rFont val="Tahoma"/>
            <family val="2"/>
          </rPr>
          <t xml:space="preserve">
Estos son los tiempos claves en la ejecución de una actividad.  Nos ayuda a afinar nuestro pronóstico</t>
        </r>
      </text>
    </comment>
  </commentList>
</comments>
</file>

<file path=xl/comments3.xml><?xml version="1.0" encoding="utf-8"?>
<comments xmlns="http://schemas.openxmlformats.org/spreadsheetml/2006/main">
  <authors>
    <author>TEODORON</author>
  </authors>
  <commentList>
    <comment ref="A1" authorId="0" shapeId="0">
      <text>
        <r>
          <rPr>
            <b/>
            <sz val="8"/>
            <color indexed="81"/>
            <rFont val="Tahoma"/>
            <family val="2"/>
          </rPr>
          <t>TEODORON:</t>
        </r>
        <r>
          <rPr>
            <sz val="8"/>
            <color indexed="81"/>
            <rFont val="Tahoma"/>
            <family val="2"/>
          </rPr>
          <t xml:space="preserve">
Esta matriz sale de la matriz que está en el GRP. Para los proyectos que tienen GRP esta sería una forma de darle seguimiento los acuerdos de mitigación.  Para los proyectos que no tienen GRP, habría que realizarlo o ver si se  realizó un ejercicio equivalente y llenar las columnas que se puedan de este cuadro.</t>
        </r>
      </text>
    </comment>
  </commentList>
</comments>
</file>

<file path=xl/sharedStrings.xml><?xml version="1.0" encoding="utf-8"?>
<sst xmlns="http://schemas.openxmlformats.org/spreadsheetml/2006/main" count="1796" uniqueCount="725">
  <si>
    <t xml:space="preserve">GRAN TOTAL </t>
  </si>
  <si>
    <t>Proceso selección/contratación</t>
  </si>
  <si>
    <t>Desarrollo contrato</t>
  </si>
  <si>
    <t>Especificaciones Técnicas / Terminos de Referencia</t>
  </si>
  <si>
    <t>Nombre y Título</t>
  </si>
  <si>
    <t>Valor</t>
  </si>
  <si>
    <t xml:space="preserve">            </t>
  </si>
  <si>
    <t>RE1- 729 -S</t>
  </si>
  <si>
    <t>Banco Interamericano de Desarrollo</t>
  </si>
  <si>
    <t>FORMULARIO DE SOLICITUD DE DESEMBOLSO</t>
  </si>
  <si>
    <t xml:space="preserve">AI: Banco Interamericano de Desarrollo                                                                             </t>
  </si>
  <si>
    <t xml:space="preserve">Ref: Nº. de operación del BID (3)                                                                                        </t>
  </si>
  <si>
    <t>Señores:</t>
  </si>
  <si>
    <t>SOLICITAMOS(6)</t>
  </si>
  <si>
    <t>PRESENTAMOS</t>
  </si>
  <si>
    <t>Reembolso de pagos efectuados</t>
  </si>
  <si>
    <t>Pago directo al proveedor o contratista</t>
  </si>
  <si>
    <t>INSTRUCCIONES DE DEPOSITO</t>
  </si>
  <si>
    <t>Moneda Solicitada (7)</t>
  </si>
  <si>
    <t>Monto expresado en la moneda solicitada (Números y  letras) (8)</t>
  </si>
  <si>
    <t>Monto expresado en la moneda del préstamo (Número y letras) 1/    (9)</t>
  </si>
  <si>
    <t>BANCO INTERMEDIARIO (10)</t>
  </si>
  <si>
    <t>BANCO BENEFICIARIO (11)</t>
  </si>
  <si>
    <t>Ciudad:_____________________________________________</t>
  </si>
  <si>
    <t>Estado:___________________ Código Postal:_______________</t>
  </si>
  <si>
    <t>______________________________________________________________________________________________________</t>
  </si>
  <si>
    <t>Cuenta con el banco intermediario: _______________________ __________________________________________________</t>
  </si>
  <si>
    <t>BENEFICIARIO</t>
  </si>
  <si>
    <t>__________________________________________</t>
  </si>
  <si>
    <t>Instrucciones Especiales: (14) ____________________________</t>
  </si>
  <si>
    <t>1/ Si un  Prestatario o Entidad Ejecutora solicita un monto fijo en una moneda diferente a la moneda de la operación, el monto expresado en la moneda de la operación está sujeto a cambio.</t>
  </si>
  <si>
    <t>CATEGORIAS DE INVERSIONES (COI)2/</t>
  </si>
  <si>
    <t xml:space="preserve">Número de CI                         </t>
  </si>
  <si>
    <t xml:space="preserve">Nombre de CI                               </t>
  </si>
  <si>
    <t xml:space="preserve">País de Origen                       </t>
  </si>
  <si>
    <t xml:space="preserve">                                                                                                                                                      </t>
  </si>
  <si>
    <t>Monto Total:</t>
  </si>
  <si>
    <t>Acordamos y certificamos lo siguiente:</t>
  </si>
  <si>
    <t>V. Que las sumas indicadas en el estado adjunto constituyen, en cada caso, las sumas exactas pagadas por el concepto respectivo, y reflejan todos los descuentos, devoluciones, reducciones y otros créditos recibidos o que hayan de recibirse en conexión con</t>
  </si>
  <si>
    <t>VI. Que no hemos recibido ninguna suma como reembolso de ninguno de los pagos de que se trata, ni hemos obtenido fondos a esos efectos de ningún otro préstamo, crédito o donación que nos haya sido efectuada, excepto para préstamos (eventuales) a corto pla</t>
  </si>
  <si>
    <t>_______________________________________</t>
  </si>
  <si>
    <t xml:space="preserve">  </t>
  </si>
  <si>
    <t>______________________________________________________________________________________</t>
  </si>
  <si>
    <t>2/ No se aplica a los desembolsos del Fondo Rotatorio.                              3/ Expresado en la moneda del préstamo (CT).</t>
  </si>
  <si>
    <r>
      <t>IV.</t>
    </r>
    <r>
      <rPr>
        <sz val="7"/>
        <rFont val="Times New Roman"/>
        <family val="1"/>
      </rPr>
      <t> </t>
    </r>
    <r>
      <rPr>
        <sz val="9"/>
        <rFont val="Arial"/>
        <family val="2"/>
      </rPr>
      <t xml:space="preserve">Que en caso de que no se justifique debidamente la utilización de los recursos del Fondo Rotatorio, el BID está facultado para: a) Exigir la devolución de los fondos del saldo no justificado, o                                                          </t>
    </r>
  </si>
  <si>
    <r>
      <t>VII.</t>
    </r>
    <r>
      <rPr>
        <sz val="7"/>
        <rFont val="Times New Roman"/>
        <family val="1"/>
      </rPr>
      <t>  </t>
    </r>
    <r>
      <rPr>
        <sz val="9"/>
        <rFont val="Arial"/>
        <family val="2"/>
      </rPr>
      <t>Que el BID está facultado para disponer lo necesario a fin de que la(s) moneda(s) necesaria(s) para pagar al proveedor sea(n) convertida(s) para nuestra cuenta y depositada(s) en la cuenta arriba especificada. Las sumas de una o más monedas que el B</t>
    </r>
  </si>
  <si>
    <r>
      <t>VIII.</t>
    </r>
    <r>
      <rPr>
        <sz val="7"/>
        <rFont val="Times New Roman"/>
        <family val="1"/>
      </rPr>
      <t> </t>
    </r>
    <r>
      <rPr>
        <sz val="9"/>
        <rFont val="Arial"/>
        <family val="2"/>
      </rPr>
      <t>Que estamos obligados a mantener toda la documentación que respalda esta solicitud con adecuadas referencias cruzadas a la solicitud aprobada. También estamos obligados a disponer lo necesario para que los fondos del Banco se identifiquen adecuadame</t>
    </r>
  </si>
  <si>
    <t>Instrucciones Especiales: _______________________________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t>
  </si>
  <si>
    <t>Instrucciones Especiales: ______________________________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t>
  </si>
  <si>
    <t>Anticipo de Fondos</t>
  </si>
  <si>
    <t>Justificación y Anticipo de Fondos</t>
  </si>
  <si>
    <t>Justificación de Anticipo de Fondos</t>
  </si>
  <si>
    <t>(16)  Firma Autorizada</t>
  </si>
  <si>
    <t>I. Que no ha tenido lugar ninguno de los hechos que se describen en el Artículo (_(22)__) Sección (______) del contrato de préstamo, y que no estamos en omisión del cumplimiento de ninguna de las obligaciones establecidas en ese contrato.</t>
  </si>
  <si>
    <r>
      <t xml:space="preserve">(23) </t>
    </r>
    <r>
      <rPr>
        <sz val="9"/>
        <rFont val="Times New Roman"/>
        <family val="1"/>
      </rPr>
      <t xml:space="preserve">Firma autorizada                                                                                                               </t>
    </r>
  </si>
  <si>
    <r>
      <t>Nº de Solicitud ____________________</t>
    </r>
    <r>
      <rPr>
        <u/>
        <sz val="9"/>
        <rFont val="Arial"/>
        <family val="2"/>
      </rPr>
      <t xml:space="preserve">               </t>
    </r>
  </si>
  <si>
    <t>Saldo Por Programar</t>
  </si>
  <si>
    <t>Monto Justificado 3/</t>
  </si>
  <si>
    <t>Fecha (2)_:</t>
  </si>
  <si>
    <r>
      <t>País:</t>
    </r>
    <r>
      <rPr>
        <u/>
        <sz val="10"/>
        <rFont val="Times New Roman"/>
        <family val="1"/>
      </rPr>
      <t xml:space="preserve">  </t>
    </r>
  </si>
  <si>
    <r>
      <t>Nombre del Banco:</t>
    </r>
    <r>
      <rPr>
        <u/>
        <sz val="10"/>
        <rFont val="Times New Roman"/>
        <family val="1"/>
      </rPr>
      <t xml:space="preserve"> </t>
    </r>
  </si>
  <si>
    <r>
      <t>Dirección:</t>
    </r>
    <r>
      <rPr>
        <u/>
        <sz val="10"/>
        <rFont val="Times New Roman"/>
        <family val="1"/>
      </rPr>
      <t xml:space="preserve">  </t>
    </r>
  </si>
  <si>
    <r>
      <t>País:</t>
    </r>
    <r>
      <rPr>
        <u/>
        <sz val="10"/>
        <rFont val="Times New Roman"/>
        <family val="1"/>
      </rPr>
      <t xml:space="preserve"> </t>
    </r>
  </si>
  <si>
    <t xml:space="preserve">Nombre del Banco: </t>
  </si>
  <si>
    <r>
      <t>Dirección:</t>
    </r>
    <r>
      <rPr>
        <u/>
        <sz val="10"/>
        <rFont val="Times New Roman"/>
        <family val="1"/>
      </rPr>
      <t xml:space="preserve">  </t>
    </r>
    <r>
      <rPr>
        <sz val="10"/>
        <rFont val="Times New Roman"/>
        <family val="1"/>
      </rPr>
      <t>________________________________________________________________________________________________________________</t>
    </r>
  </si>
  <si>
    <t>Ciudad:  ________________________</t>
  </si>
  <si>
    <t xml:space="preserve">Nombre del Beneficiario: (12)  </t>
  </si>
  <si>
    <r>
      <t xml:space="preserve">Cuenta del Beneficiario: (13) </t>
    </r>
    <r>
      <rPr>
        <u/>
        <sz val="10"/>
        <rFont val="Times New Roman"/>
        <family val="1"/>
      </rPr>
      <t xml:space="preserve"> </t>
    </r>
  </si>
  <si>
    <r>
      <t xml:space="preserve">NIT: (15)  </t>
    </r>
    <r>
      <rPr>
        <u/>
        <sz val="10"/>
        <rFont val="Times New Roman"/>
        <family val="1"/>
      </rPr>
      <t xml:space="preserve"> </t>
    </r>
  </si>
  <si>
    <t>Monto Contratado</t>
  </si>
  <si>
    <r>
      <t>IX.</t>
    </r>
    <r>
      <rPr>
        <sz val="7"/>
        <rFont val="Times New Roman"/>
        <family val="1"/>
      </rPr>
      <t> </t>
    </r>
    <r>
      <rPr>
        <sz val="9"/>
        <rFont val="Arial"/>
        <family val="2"/>
      </rPr>
      <t>Que el aporte local acumulado a esta fecha asciende al equivalente de  ____________________</t>
    </r>
  </si>
  <si>
    <t>1.1.1</t>
  </si>
  <si>
    <t>1.1.2</t>
  </si>
  <si>
    <t>1.2.1</t>
  </si>
  <si>
    <t>1.2.2</t>
  </si>
  <si>
    <t>2.1.1</t>
  </si>
  <si>
    <t>2.2.1</t>
  </si>
  <si>
    <t>Administración y Auditoría</t>
  </si>
  <si>
    <t xml:space="preserve">Administración </t>
  </si>
  <si>
    <t>Auditoría</t>
  </si>
  <si>
    <t>Total Flujo</t>
  </si>
  <si>
    <t>PROGRAMACION DE ACTIVIDADES Y FLUJO DE CAJA (MONEDA LOCAL)</t>
  </si>
  <si>
    <t>Ejecución Presupuestaria</t>
  </si>
  <si>
    <t xml:space="preserve">Justificado Acumulado Anterior    (a) </t>
  </si>
  <si>
    <t xml:space="preserve">Justificación esta Solicitud                     (b) </t>
  </si>
  <si>
    <t>Justificado Nuevo Acumulado    (c) = (a) + (b)</t>
  </si>
  <si>
    <t>Presupuesto Vigente</t>
  </si>
  <si>
    <t xml:space="preserve"> </t>
  </si>
  <si>
    <t>No.</t>
  </si>
  <si>
    <t>Componente / Producto</t>
  </si>
  <si>
    <t>Tipo de Riesgo</t>
  </si>
  <si>
    <t>Riesgo</t>
  </si>
  <si>
    <t>Clasificación Riesgo</t>
  </si>
  <si>
    <t>MATRIZ DE MITIGACIÓN DE RIESGOS</t>
  </si>
  <si>
    <t xml:space="preserve">Actividad </t>
  </si>
  <si>
    <t>Presupuesto</t>
  </si>
  <si>
    <r>
      <t xml:space="preserve">Fecha Inicio </t>
    </r>
    <r>
      <rPr>
        <b/>
        <sz val="8"/>
        <rFont val="Arial"/>
        <family val="2"/>
      </rPr>
      <t>(DD.MM.AA)</t>
    </r>
  </si>
  <si>
    <r>
      <t xml:space="preserve">Fecha Fin </t>
    </r>
    <r>
      <rPr>
        <b/>
        <sz val="8"/>
        <rFont val="Arial"/>
        <family val="2"/>
      </rPr>
      <t>(DD.MM.AA)</t>
    </r>
  </si>
  <si>
    <t>Nivel</t>
  </si>
  <si>
    <t>Grado de Cumplimiento del Plan de Mitigación</t>
  </si>
  <si>
    <t>MITIGACION DE RIESGOS NO FIDUCIARIOS</t>
  </si>
  <si>
    <t>Número de Referencia (1) :</t>
  </si>
  <si>
    <t>(5) Conforme a las condiciones del contrato                                              de la operación pertinente mutuamente celebrado por                                         y el Banco Interamericano de Desarrollo (BID), por el presente:</t>
  </si>
  <si>
    <t>II. Que los pagos provenientes de esos recursos se efectúan o se efectuarán exclusivamente a los efectos especificados en el contrato de préstamo y conforme con sus términos y condiciones. Los bienes y servicios financiados con esos pagos son/fueron apropiados.</t>
  </si>
  <si>
    <t>III. Que el uso de los recursos del Fondo Rotatorio será justificado oportunamente, pero siempre con más de 30 días de anticipación a la fecha del desembolso final del préstamo, presentado al BID una lista detallada de los pagos elegibles que hemos efectuados.</t>
  </si>
  <si>
    <t>Nº de POA</t>
  </si>
  <si>
    <t>Nº de SEPA</t>
  </si>
  <si>
    <t>Componente  Técnico I: Fortalecimiento de la SET</t>
  </si>
  <si>
    <t>Sub-componente 1: Normativa Tributaria</t>
  </si>
  <si>
    <t>Producto 1:Proyecto Codigo Tributario remitido al Congreso</t>
  </si>
  <si>
    <t>Producto 2: Manual Unificado de Fiscalizacion</t>
  </si>
  <si>
    <t>Producto 3: Reglamentaciones de Leyes de Administracion Tributaria (Ley 125/91 y Ley 2421/2004), Renta Personal, IMAGRO y combustibles.</t>
  </si>
  <si>
    <t>Sub-componente 2: Estructura Organica de la SET, modernizada</t>
  </si>
  <si>
    <t>Producto 1:Centro de Estudios Fiscales, diseñado y creado</t>
  </si>
  <si>
    <t>Producto 2: Manuales Administrativos, diseñados</t>
  </si>
  <si>
    <t>Producto 3: Direcciones con certificacion de calidad ISO o similares</t>
  </si>
  <si>
    <t>Producto 4: SET Sistema de Gestion por Resultados (GPR), implantado</t>
  </si>
  <si>
    <t>Sub-componente 3: Tecnología de la Información</t>
  </si>
  <si>
    <t>Producto 1: Data Center Alternativo de la SET, en operacion</t>
  </si>
  <si>
    <t>Producto 2:Equipos TICs, adquiridos (servidores, lote de PC's)</t>
  </si>
  <si>
    <t>Producto 3: Sistemas Tecnologicos, fortalecidos</t>
  </si>
  <si>
    <t>1.3.1</t>
  </si>
  <si>
    <t>1.3.2</t>
  </si>
  <si>
    <t>Sub-componente 4:Educación, capacitaicón y difusion</t>
  </si>
  <si>
    <t>Producto 1:Funcionarios de la SET, capacitados y certificados en aspectos tributarios</t>
  </si>
  <si>
    <t>Producto 2:Agentes del sector privado, capacitados y certificados en aspectos tributarios</t>
  </si>
  <si>
    <t>Producto 3: Campaña de concientizacion tributaria, realizada</t>
  </si>
  <si>
    <t>1.4.1</t>
  </si>
  <si>
    <t>1.4.2</t>
  </si>
  <si>
    <t>Componente  Técnico II: Fortalecimiento SSEAF</t>
  </si>
  <si>
    <t>Sub-componente 1: Nuevo SIAF implantado</t>
  </si>
  <si>
    <t>Sub-componente 2: Expansión e integración SINARH</t>
  </si>
  <si>
    <t>Producto 1: ANTEPROYECTO de Ley SINARH, con enfasis en remuneraciones</t>
  </si>
  <si>
    <t>Producto 2: Modulos basicos del SINARH, implementados (diseño conceptual y desarrollo informatico)
SINARH, en operacion plena en 18 entidades de la Administracion Central (incluye modulos basicos de RRHH) e interfaces con el Nuevo SIAF</t>
  </si>
  <si>
    <t>Sub-componente 3: Modernización Crédito y Deuda Pública</t>
  </si>
  <si>
    <t>Producto 1: Gestion de Credito, Deuda e Inversion Publica, modernizada</t>
  </si>
  <si>
    <t>Sub-componente 4: Diseño y Adm SIABYS</t>
  </si>
  <si>
    <t>Producto 1: SIABYS, en operacion en por lo menos 12 entidades de la Administracion Central. (Dise;o conceptual+procedimientos+capacitacion)</t>
  </si>
  <si>
    <t>Sub-componente 5: Fortalecimiento Jubilación y Pensiones</t>
  </si>
  <si>
    <t>Producto 1: Centro de Atencion al Cliente, en operacion: reduce el tiempo de procesamiento de pagos e incrementa el numero de reclamos atendidos</t>
  </si>
  <si>
    <t>Producto 2: Modelo de Gestion de Calidad con Normas ISO 9000 o similares, implementado</t>
  </si>
  <si>
    <t>1.1.3</t>
  </si>
  <si>
    <t>1.2.3</t>
  </si>
  <si>
    <t>1.2.4</t>
  </si>
  <si>
    <t>1.3.3</t>
  </si>
  <si>
    <t>1.4.3</t>
  </si>
  <si>
    <t>2.2.2</t>
  </si>
  <si>
    <t>2.3.1</t>
  </si>
  <si>
    <t>2.4.1</t>
  </si>
  <si>
    <t>2.5.1</t>
  </si>
  <si>
    <t>2.5.2</t>
  </si>
  <si>
    <t>Producto 1: Modulos basicos y aicionales del SIAF, implementados</t>
  </si>
  <si>
    <t>set 12</t>
  </si>
  <si>
    <t>1.1</t>
  </si>
  <si>
    <t>1.2</t>
  </si>
  <si>
    <t>1.3</t>
  </si>
  <si>
    <t>1.4</t>
  </si>
  <si>
    <t>2.1</t>
  </si>
  <si>
    <t>2.2</t>
  </si>
  <si>
    <t>2.3</t>
  </si>
  <si>
    <t>2.4</t>
  </si>
  <si>
    <t>2.5</t>
  </si>
  <si>
    <t>3.1</t>
  </si>
  <si>
    <t>3.2</t>
  </si>
  <si>
    <t>Total Período 1 (ago-dic 2012)</t>
  </si>
  <si>
    <t>Total Período 2 (ene a jun 13)</t>
  </si>
  <si>
    <t>Total Período 3 (jul a dic 13)</t>
  </si>
  <si>
    <t>FAPEP</t>
  </si>
  <si>
    <t>Consultoría para Diseño e Implementación de un Sistema de Gestión de Calidad (SGC) bajo criterio de las Normas ISO 9001:2008. Fiscalización y PAC.</t>
  </si>
  <si>
    <t>2014/BL-PR-71-SBMC-CF-08</t>
  </si>
  <si>
    <t>SC 08</t>
  </si>
  <si>
    <t>Consultoría Administración tributaria de Control y Fiscalización: elaboración de manuales de auditoria.</t>
  </si>
  <si>
    <t>2014/BL-PR-75-3CV-CI-07</t>
  </si>
  <si>
    <t>SC 07</t>
  </si>
  <si>
    <t>Consultoría Nacional Individual para apoyo para la implementación y funcionamiento de IFF.</t>
  </si>
  <si>
    <t>2014/BL-PR-76-3CV-CI-15</t>
  </si>
  <si>
    <t>No Fig POA</t>
  </si>
  <si>
    <t>2014/BL-PR-72-CD-CI-48</t>
  </si>
  <si>
    <t>2014/BL-PR-19-CD-CI-01</t>
  </si>
  <si>
    <t>Peritaje Internacional de procesos de fiscalización y fijación de precios de commodities en la determinación de infracciones tributarias.(Jairo Godoy)</t>
  </si>
  <si>
    <t>Consultoría Definición y Medición del gasto tributario en el Paraguay. (Jose Salim)</t>
  </si>
  <si>
    <t>2014/BL-PR-20-CD-CI-02</t>
  </si>
  <si>
    <t>SC 02</t>
  </si>
  <si>
    <t>Consultoría Sistema de Control de Producción, productos de tabaco y alcohol.(Jhon Colledge III)</t>
  </si>
  <si>
    <t>PRESUPUESTO V LOCAL</t>
  </si>
  <si>
    <t>Consultoria Gestion Normativa.(Jose Nogales)</t>
  </si>
  <si>
    <t>2014/BL-PR-22-CD-CI-04</t>
  </si>
  <si>
    <t>SC 04</t>
  </si>
  <si>
    <t>Consultoría Fiscalización Tributaria (Cesar Royg)</t>
  </si>
  <si>
    <t>2014/BL-PR-23-3CV-CI-05</t>
  </si>
  <si>
    <t>SC 05</t>
  </si>
  <si>
    <t>PROCESOS SUPERIOR A LOS 18 MESES</t>
  </si>
  <si>
    <t>CULMINADO</t>
  </si>
  <si>
    <t>CONTRATOS CERRADOS/TERMINADOS</t>
  </si>
  <si>
    <t>Servicio de Certificación del Sistema de Gestión de Calidad bajo criterios de las Normas ISO 9001:2008.</t>
  </si>
  <si>
    <t>2014/BL-PR-69-LPN-S-4</t>
  </si>
  <si>
    <t>Adquisición de Equipos Informaticos para la Plataforma de Atencion al Cliente (9 PAC)</t>
  </si>
  <si>
    <t>2014/BL-PR-1-LPN-B-01</t>
  </si>
  <si>
    <t>B 01</t>
  </si>
  <si>
    <t>SALDO A REPROGRAMAR DE LA FAPEP</t>
  </si>
  <si>
    <t>EJECUCIÓN FAPEP</t>
  </si>
  <si>
    <t>2014/BL-PR-2-LPN-B-02</t>
  </si>
  <si>
    <t>B 02</t>
  </si>
  <si>
    <t>2014/BL-PR-70-CP-S-5</t>
  </si>
  <si>
    <t>Consultoria para la Implementacion de un Sistema de Gestion basado en la Calidad para su posterior certificacion.</t>
  </si>
  <si>
    <t>2014/BL-PR-64-SBMC-CF-12</t>
  </si>
  <si>
    <t>SC 12</t>
  </si>
  <si>
    <t>Consultoria Diagnostico y Propuesta de Diseño de un Instituto de Formacion y Capacitacion Tributaria.</t>
  </si>
  <si>
    <t>2014/BL-PR-32-SBMC-CF-14</t>
  </si>
  <si>
    <t>SC 14</t>
  </si>
  <si>
    <t>Firma Consultora para ajuste de la nueva estructura organizacional de la Administracion Tributaria, capacitacion al personal y usuarios de la nueva estructura.</t>
  </si>
  <si>
    <t>2014/BL-PR-28-SBMC-CF-10</t>
  </si>
  <si>
    <t>SC 10</t>
  </si>
  <si>
    <t>Enlace Coordinadora SET (Myriam Sugastti)</t>
  </si>
  <si>
    <t>N/A</t>
  </si>
  <si>
    <t>2014/BL-PR-73-LPN-B-06</t>
  </si>
  <si>
    <t>B 06</t>
  </si>
  <si>
    <t>Adquisición de Equipos Informaticos, de Comunicación, electrico para el Data Center.</t>
  </si>
  <si>
    <t>2014/BL-PR-5-LPN-B-05</t>
  </si>
  <si>
    <t>B 05</t>
  </si>
  <si>
    <t>2014/BL-PR-65-CD-CF-46</t>
  </si>
  <si>
    <t>Consultoria para el Desarrollo, Implementacion y Capacitacion de Facturacion Electronica.</t>
  </si>
  <si>
    <t>2014/BL-PR-37-SBMC-CF-19</t>
  </si>
  <si>
    <t>SC 19</t>
  </si>
  <si>
    <t>Consultoria para el desarrollo de un Sistema de Gestion de Documentos Digitales.</t>
  </si>
  <si>
    <t>2014/BL-PR-35-SBMC-CF-17</t>
  </si>
  <si>
    <t>SC 17</t>
  </si>
  <si>
    <t>2014/BL-PR-34-SBCC-CF-16</t>
  </si>
  <si>
    <t>SC 16</t>
  </si>
  <si>
    <t>Consultoría para el desarrollo del Sistema de Recepción de los archivos encriptados, monitoreo del uso de las impresoras y cruzamiento de datos en el Sistema Marangatú.</t>
  </si>
  <si>
    <t>2014/BL-PR-67-SBCC-CF-47</t>
  </si>
  <si>
    <t>Adquisición de Impresoras Fiscales. (HPTI)</t>
  </si>
  <si>
    <t>Consultoria para el Diseño Sitio Alternativo del Data Center SET.(Simon &amp; Arrinton)</t>
  </si>
  <si>
    <t>Adquisición de Muebles para el Funcionamiento de la Plataforma de Atencion al Cliente (9 PAC)(Equimob/Artes y Muebles/Silvestri)</t>
  </si>
  <si>
    <t>a)Firma consultora para rediseño, restructuración, desarrollo, migración e implementación del Sistema de Timbrado y Jeroviaha, integrando sus datos y aplicativos al Sistema Marangatú. b)Mantenimiento evolutivo de los Sistemas de la SET. (CIAT)</t>
  </si>
  <si>
    <t>Diseño en Impresión de Folleteria y afines.</t>
  </si>
  <si>
    <t>2014/BL-PR-18-LPN-S-03</t>
  </si>
  <si>
    <t>S 03</t>
  </si>
  <si>
    <t>2014/BL-PR-16-LPN-S-01</t>
  </si>
  <si>
    <t>Difusión de campañas de educación ciudadana.</t>
  </si>
  <si>
    <t>2014/BL-PR-17-LPI-S-02</t>
  </si>
  <si>
    <t>S 02</t>
  </si>
  <si>
    <t>Consultoría Fortalecimiento de la capacidad técnica de funcionarios, desarrollo de cursos, capacitación en normativas tributarias.</t>
  </si>
  <si>
    <t>2014/BL-PR-77-SBMC-CF-20</t>
  </si>
  <si>
    <t>SC 20</t>
  </si>
  <si>
    <t>Consultoría Fortalecimiento de la capacidad técnica de funcionarios, desarrollo de cursos virtuales, capacitación y certificación de agentes del sector privado.</t>
  </si>
  <si>
    <t>2014/BL-PR-38-SBMC-CF-20</t>
  </si>
  <si>
    <t>Organización de eventos dirigidos a funcionarios, contribuyentes y a la ciudadanía, orientados a la actualización y cumplimiento de la obligación tributaria.(K-L)</t>
  </si>
  <si>
    <t>Igrafica (PP+FAPEP)</t>
  </si>
  <si>
    <t>Organizaicón Integral (PP+FAPEP)</t>
  </si>
  <si>
    <t>Brick (PP+FAPEP)</t>
  </si>
  <si>
    <t>Adquisición de Equipos para Data Center Sitio Alternativo.</t>
  </si>
  <si>
    <t>2014/BL-PR-9-LPI-B-09</t>
  </si>
  <si>
    <t>B 09</t>
  </si>
  <si>
    <t>Consultoría Revisión y Actualización del SIAF</t>
  </si>
  <si>
    <t>2014/BL-PR-74-SBC-CF-23</t>
  </si>
  <si>
    <t>SC 23</t>
  </si>
  <si>
    <t>Progress (PP+FAPEP)</t>
  </si>
  <si>
    <t>Inavan &amp; Cialpa (PP+FAPEP)</t>
  </si>
  <si>
    <t>Enlace Coordinador SSEAF (Ever Soria)</t>
  </si>
  <si>
    <t>Consultoría para Diseño y Desarrollo del Sistema Nacional de Recursos Humanos - SINARH</t>
  </si>
  <si>
    <t>2014/BL-PR-44-SBCC-CF-25</t>
  </si>
  <si>
    <t>SC 25</t>
  </si>
  <si>
    <t>Consultoria Normativa SINARH (Ley y Reglamentacion para su Funcionamiento).</t>
  </si>
  <si>
    <t>2014/BL-PR-45-3CV-CI-26</t>
  </si>
  <si>
    <t>SC 26</t>
  </si>
  <si>
    <t>Adquisición de equipos informáticos, de comunicación y software para Crédito y Deuda Pública.</t>
  </si>
  <si>
    <t>2014/BL-PR-11-LPN-B-11</t>
  </si>
  <si>
    <t>Adquisición, Mantenimiento y Capacitación a usuarios de Bloomberg</t>
  </si>
  <si>
    <t>2014/BL-PR-10-CD-B-10</t>
  </si>
  <si>
    <t>Firma consultora informática para el Sistema de Seguimiento de Proyectos de inversión (SICAP II), así como su vinculación con otros Sistemas del SIAF.</t>
  </si>
  <si>
    <t>2014/BL-PR-46-SBCC-CF-27</t>
  </si>
  <si>
    <t>SC 27</t>
  </si>
  <si>
    <t>Equipos informáticos, de comunicación y software, e implantación de mecanismos de protección de datos para Digitalización.</t>
  </si>
  <si>
    <t>2014/BL-PR-12-LPN-B-12</t>
  </si>
  <si>
    <t>B 12</t>
  </si>
  <si>
    <t>2014/BL-PR-49-SBMC-CF-30</t>
  </si>
  <si>
    <t>Firma Consultora para Sistematización (Digitalización) de los archivos relacionados a la documentación de los bienes registrables (inmuebles y rodados).(CM-ET)</t>
  </si>
  <si>
    <t>Equipos informáticos, de comunicación y software para Centro de Atencion al Cliente - DGJP.</t>
  </si>
  <si>
    <t>2014/BL-PR-13-LPN-B-13</t>
  </si>
  <si>
    <t>B 13</t>
  </si>
  <si>
    <t>Adquisición de muebles para el funcionamiento del Centro de Atención al Cliente de la DGJP.</t>
  </si>
  <si>
    <t>2014/BL-PR-14-CP-B-14</t>
  </si>
  <si>
    <t>B 14</t>
  </si>
  <si>
    <t>Organización de un Centro de Atención al Cliente y Capacitación. Call center y help desk para la Dirección General de Jubilaciones y Pensiones.</t>
  </si>
  <si>
    <t>2014/BL-PR-52-SBMC-CF-33</t>
  </si>
  <si>
    <t>SC 33</t>
  </si>
  <si>
    <t>2014/BL-PR-51-SBMC-CF-32</t>
  </si>
  <si>
    <t>Consultoría Diseño y desarrollo de un sistema automático de descuentos sobre haberes del sector contributivo.</t>
  </si>
  <si>
    <t>2014/BL-PR-50-SBCC-CF-31</t>
  </si>
  <si>
    <t>Consultoría Construcción y desarrollo interfase del Módulo Informático para la incorporación automatizada de beneficiarios de la Pensión Alimentaría para Adultos Mayores en situación de pobreza. Fortalecimiento de la estructura tecnológica.(EGT)</t>
  </si>
  <si>
    <t>SC 31</t>
  </si>
  <si>
    <t>Consultoría Sistema de Administración de Servicios del Estado.</t>
  </si>
  <si>
    <t>2014/BL-PR-48-SBCC-CF-29</t>
  </si>
  <si>
    <t>SC 29</t>
  </si>
  <si>
    <t>IMPREVISTOS</t>
  </si>
  <si>
    <t>PROGRAMACION DE ACTIVIDADES Y FLUJO DE CAJA (USD)</t>
  </si>
  <si>
    <t>TC: 13NOV12</t>
  </si>
  <si>
    <t>TC: 10SET08</t>
  </si>
  <si>
    <t>Producto3: Fortalecimiento de los sistemas de vigilancia no vectoriales provinciales y locales de salud</t>
  </si>
  <si>
    <t>Producto 5: Desarrollo y Monitoreo de las Actividades</t>
  </si>
  <si>
    <t>Producto 2: Fortalecimiento del diagnóstico precoz y tratamiento oportuno del niño recién nacido hasta el año de vida</t>
  </si>
  <si>
    <t>Producto 3: Distribución de medicación según solicitud de las Provincias del área endémica</t>
  </si>
  <si>
    <t>Producto 4: Control de calidad externo de laboratorios, realizados e informados</t>
  </si>
  <si>
    <t>Producto 5: Equipos de salud capacitados</t>
  </si>
  <si>
    <t>Producto 6: Distribución de insumos según solicitud de las Provincias del área endémica</t>
  </si>
  <si>
    <t>Componente 3: Gerenciamiento del programa</t>
  </si>
  <si>
    <t>Producto 1: Programa auditado</t>
  </si>
  <si>
    <t>Producto 2: Gastos administrativos</t>
  </si>
  <si>
    <t>2.1.2</t>
  </si>
  <si>
    <t>2.1.3</t>
  </si>
  <si>
    <t>2.1.4</t>
  </si>
  <si>
    <t>2.1.5</t>
  </si>
  <si>
    <t>2.2.3</t>
  </si>
  <si>
    <t>2.2.4</t>
  </si>
  <si>
    <t>2.2.5</t>
  </si>
  <si>
    <t>2.2.6</t>
  </si>
  <si>
    <t>Componente 4: Comisiones e Imprevistos</t>
  </si>
  <si>
    <t>4.1 Imprevistos</t>
  </si>
  <si>
    <t>4.2 Comisiones</t>
  </si>
  <si>
    <t>PROGRAMACION DE ACTIVIDADES Y FLUJO DE CAJA  (US$)</t>
  </si>
  <si>
    <t>Preparación de Pliegos</t>
  </si>
  <si>
    <t>Solicitud de No Objeción</t>
  </si>
  <si>
    <t xml:space="preserve"> No Objeción</t>
  </si>
  <si>
    <t>Llamado licitación (invitación)</t>
  </si>
  <si>
    <t>Apertura de Ofertas</t>
  </si>
  <si>
    <t>Propuesta de pre-adjudicación</t>
  </si>
  <si>
    <t>No Objeción</t>
  </si>
  <si>
    <t>Firma de Contrato</t>
  </si>
  <si>
    <t>Inicio de Obra</t>
  </si>
  <si>
    <t>Fin de Obra</t>
  </si>
  <si>
    <t>Licitación Pública Internacional</t>
  </si>
  <si>
    <t>Modalidad de Adquisiciones</t>
  </si>
  <si>
    <t>Elaboración de Pliegos / Especificaciones Técnicas / Terminos de Referencia</t>
  </si>
  <si>
    <t>Firma y desarrollo del contrato</t>
  </si>
  <si>
    <t>Proyecto N°</t>
  </si>
  <si>
    <t>Nombre del Proyecto</t>
  </si>
  <si>
    <t>Nombre del Ejecutor</t>
  </si>
  <si>
    <t>Control Presupuestario</t>
  </si>
  <si>
    <t>Referencia del PAC</t>
  </si>
  <si>
    <t>Responsable</t>
  </si>
  <si>
    <t>Desembolso de gasto correspondiente a actividades que no involucraron procesos de adquisiciones</t>
  </si>
  <si>
    <t>Plan Operativo Anual</t>
  </si>
  <si>
    <t>1.1.4</t>
  </si>
  <si>
    <t>1.1.5</t>
  </si>
  <si>
    <t>1.3.4</t>
  </si>
  <si>
    <t>1.3.5</t>
  </si>
  <si>
    <t>1.4.4</t>
  </si>
  <si>
    <t>2.1.1.1</t>
  </si>
  <si>
    <t>2.1.1.3</t>
  </si>
  <si>
    <t>2.1.1.2</t>
  </si>
  <si>
    <t>2.1.1.4</t>
  </si>
  <si>
    <t>2.1.2.1</t>
  </si>
  <si>
    <t>2.1.2.2</t>
  </si>
  <si>
    <t>2.1.2.3</t>
  </si>
  <si>
    <t>2.1.2.4</t>
  </si>
  <si>
    <t>2.1.2.5</t>
  </si>
  <si>
    <t>2.1.3.1</t>
  </si>
  <si>
    <t>2.1.3.2</t>
  </si>
  <si>
    <t>2.1.3.3</t>
  </si>
  <si>
    <t>2.1.3.4</t>
  </si>
  <si>
    <t>2.1.4.1</t>
  </si>
  <si>
    <t>2.1.4.2</t>
  </si>
  <si>
    <t>2.1.4.3</t>
  </si>
  <si>
    <t>2.1.4.4</t>
  </si>
  <si>
    <t>2.1.5.1</t>
  </si>
  <si>
    <t>2.1.5.2</t>
  </si>
  <si>
    <t>2.1.5.3</t>
  </si>
  <si>
    <t>2.1.5.4</t>
  </si>
  <si>
    <t>2.2.1.1</t>
  </si>
  <si>
    <t>2.2.1.2</t>
  </si>
  <si>
    <t>2.2.1.3</t>
  </si>
  <si>
    <t>2.2.1.4</t>
  </si>
  <si>
    <t>2.2.2.1</t>
  </si>
  <si>
    <t>2.2.2.2</t>
  </si>
  <si>
    <t>2.2.2.3</t>
  </si>
  <si>
    <t>2.2.2.4</t>
  </si>
  <si>
    <t>2.2.3.1</t>
  </si>
  <si>
    <t>2.2.3.2</t>
  </si>
  <si>
    <t>2.2.4.3</t>
  </si>
  <si>
    <t>2.2.4.4</t>
  </si>
  <si>
    <t>2.2.4.1</t>
  </si>
  <si>
    <t>2.2.4.2</t>
  </si>
  <si>
    <t>2.2.5.1</t>
  </si>
  <si>
    <t>2.2.5.2</t>
  </si>
  <si>
    <t>2.2.5.3</t>
  </si>
  <si>
    <t>2.2.5.4</t>
  </si>
  <si>
    <t>2.2.6.1</t>
  </si>
  <si>
    <t>2.2.6.2</t>
  </si>
  <si>
    <t>2.2.6.3</t>
  </si>
  <si>
    <t>3.1.1</t>
  </si>
  <si>
    <t>3.1.2</t>
  </si>
  <si>
    <t>3.1.3</t>
  </si>
  <si>
    <t>3.1.4</t>
  </si>
  <si>
    <t>Presupuesto Vigente FONPLATA</t>
  </si>
  <si>
    <t>Presupuesto Vigente Aporte Local</t>
  </si>
  <si>
    <t>Presupuesto Original Aporte Local</t>
  </si>
  <si>
    <t>Presupuesto Original FONPLATA</t>
  </si>
  <si>
    <t>Presupuestos en Dólares Americanos</t>
  </si>
  <si>
    <t>Ap. Local</t>
  </si>
  <si>
    <t>FONPLATA</t>
  </si>
  <si>
    <t>TOTAL</t>
  </si>
  <si>
    <t xml:space="preserve">Componente I: </t>
  </si>
  <si>
    <t>Producto 1: XXXXXXXXXXXXXXX</t>
  </si>
  <si>
    <t>Producto 2: XXXXXXXXXXXXXXXXXXXXXXXXXX</t>
  </si>
  <si>
    <t>Producto 3: XXXXXXXXXXXXXXXXXX</t>
  </si>
  <si>
    <t>Producto N: XXXXXXXXXXXXXXXXXX</t>
  </si>
  <si>
    <t>Componente II: XXXXXXXXXXXXXXXXXXXXXXXXXXXXX</t>
  </si>
  <si>
    <t>Sub-componente 1: [En caso que corresponda]</t>
  </si>
  <si>
    <t>Producto 4: XXXXXXXXXXXXXXXX</t>
  </si>
  <si>
    <t>Sub-componente 2: [En caso que corresponda]</t>
  </si>
  <si>
    <t>Producto 1: XXXXXXXXXXXXXXXXX</t>
  </si>
  <si>
    <t>Total Período 1 (jun-dic-17)</t>
  </si>
  <si>
    <t>Total Período 2 (ene a dic-18)</t>
  </si>
  <si>
    <t>Presupuesto Estimado Por Proceso Bs</t>
  </si>
  <si>
    <t>Presupuesto Estimado por Componente Bs.</t>
  </si>
  <si>
    <t>ADQUISICION DE AGREGADOS LOTE 1</t>
  </si>
  <si>
    <t>ADQUISICION DE AGREGADOS LOTE 2</t>
  </si>
  <si>
    <t>ADQUISICION DE AGREGADOS LOTE 3</t>
  </si>
  <si>
    <t>ADQUISICION DE AGREGADOS LOTE 4</t>
  </si>
  <si>
    <t>ADQUISICION DE AGREGADOS LOTE 5</t>
  </si>
  <si>
    <t>ADQUISICION DE AGREGADOS LOTE 6</t>
  </si>
  <si>
    <t>ADQUISICION DE AGREGADOS LOTE 7</t>
  </si>
  <si>
    <t>ADQUISICION DE HERRAMIENTAS TIPO 1</t>
  </si>
  <si>
    <t>ADQUISICION DE HERRAMIENTAS TIPO 2</t>
  </si>
  <si>
    <t>ADQUISICION DE HERRAMIENTAS TIPO 3</t>
  </si>
  <si>
    <t>ADQUISICION DE HERRAMIENTAS TIPO 4</t>
  </si>
  <si>
    <t>ADQUISICION DE HERRAMIENTAS TIPO 5</t>
  </si>
  <si>
    <t>ADQUISICION DE HERRAMIENTAS TIPO 6</t>
  </si>
  <si>
    <t>ADQUISICION DE ROPA DE TRABAJO TIPO 1</t>
  </si>
  <si>
    <t>ADQUISICION DE ROPA DE TRABAJO TIPO 2</t>
  </si>
  <si>
    <t>PROVISION, TRANSPORTE Y ENTREGA DE LOSETAS ONDULADAS LOTE 1</t>
  </si>
  <si>
    <t>PROVISION, TRANSPORTE Y ENTREGA DE LOSETAS ONDULADAS LOTE 2</t>
  </si>
  <si>
    <t>PROVISION, TRANSPORTE Y ENTREGA DE LOSETAS ONDULADAS LOTE 3</t>
  </si>
  <si>
    <t>PROVISION, TRANSPORTE Y ENTREGA DE LOSETAS ONDULADAS LOTE 4</t>
  </si>
  <si>
    <t>PROVISION, TRANSPORTE Y ENTREGA DE LOSETAS ONDULADAS LOTE 5</t>
  </si>
  <si>
    <t>PROVISION, TRANSPORTE Y ENTREGA DE LOSETAS ONDULADAS LOTE 6</t>
  </si>
  <si>
    <t>PROVISION, TRANSPORTE Y ENTREGA DE LOSETAS ONDULADAS LOTE 7</t>
  </si>
  <si>
    <t>PROVISION, TRANSPORTE Y ENTREGA DE LOSETAS ONDULADAS LOTE 8</t>
  </si>
  <si>
    <t>PROVISION, TRANSPORTE Y ENTREGA DE LOSETAS ONDULADAS LOTE 9</t>
  </si>
  <si>
    <t>PROVISION, TRANSPORTE Y ENTREGA DE LOSETAS ONDULADAS LOTE 10</t>
  </si>
  <si>
    <t>PROVISION, TRANSPORTE Y ENTREGA DE LOSETAS ONDULADAS LOTE 11</t>
  </si>
  <si>
    <t>PROVISION, TRANSPORTE Y ENTREGA DE LOSETAS ONDULADAS LOTE 12</t>
  </si>
  <si>
    <t>CONTRATACION ALBAÑIL ENLOSETADO LOTE 1</t>
  </si>
  <si>
    <t>CONTRATACION ALBAÑIL ENLOSETADO LOTE 2</t>
  </si>
  <si>
    <t>CONTRATACION ALBAÑIL ENLOSETADO LOTE 3</t>
  </si>
  <si>
    <t>CONTRATACION ALBAÑIL ENLOSETADO LOTE 4</t>
  </si>
  <si>
    <t>CONTRATACION ALBAÑIL ENLOSETADO LOTE 5</t>
  </si>
  <si>
    <t>CONTRATACION ALBAÑIL ENLOSETADO LOTE 6</t>
  </si>
  <si>
    <t>CONTRATACION ALBAÑIL ENLOSETADO LOTE 7</t>
  </si>
  <si>
    <t>CONTRATACION ALBAÑIL ENLOSETADO LOTE 8</t>
  </si>
  <si>
    <t>CONTRATACION ALBAÑIL ENLOSETADO LOTE 9</t>
  </si>
  <si>
    <t>CONTRATACION ALBAÑIL ENLOSETADO LOTE 10</t>
  </si>
  <si>
    <t>CONTRATACION ALBAÑIL ENLOSETADO LOTE 11</t>
  </si>
  <si>
    <t>CONTRATACION ALBAÑIL ENLOSETADO LOTE 12</t>
  </si>
  <si>
    <t>CONTRATACION ALBAÑIL ENLOSETADO LOTE 13</t>
  </si>
  <si>
    <t>CONTRATACION ALBAÑIL ENLOSETADO LOTE 14</t>
  </si>
  <si>
    <t>CONTRATACION SUPERVISION ENLOSETADO LOTE 1</t>
  </si>
  <si>
    <t>CONTRATACION SUPERVISION ENLOSETADO LOTE 2</t>
  </si>
  <si>
    <t>CONTRATACION SUPERVISION ENLOSETADO LOTE 3</t>
  </si>
  <si>
    <t>CONTRATACION SUPERVISION ENLOSETADO LOTE 4</t>
  </si>
  <si>
    <t>CONTRATACION SUPERVISION ENLOSETADO LOTE 5</t>
  </si>
  <si>
    <t>CONTRATACION SUPERVISION ENLOSETADO LOTE 6</t>
  </si>
  <si>
    <t>CONTRATACION SUPERVISION ENLOSETADO LOTE 7</t>
  </si>
  <si>
    <t>CONTRATACION SUPERVISION ENLOSETADO LOTE 8</t>
  </si>
  <si>
    <t>CONTRATACION SUPERVISION ENLOSETADO LOTE 9</t>
  </si>
  <si>
    <t>CONTRATACION SUPERVISION ENLOSETADO LOTE 10</t>
  </si>
  <si>
    <t>CONTRATACION SUPERVISION ENLOSETADO LOTE 11</t>
  </si>
  <si>
    <t>CONTRATACION SUPERVISION ENLOSETADO LOTE 12</t>
  </si>
  <si>
    <t>CONTRATACION SUPERVISION ENLOSETADO LOTE 13</t>
  </si>
  <si>
    <t>CONTRATACION SUPERVISION ENLOSETADO LOTE 14</t>
  </si>
  <si>
    <t>ALQUILER DE MAQUINARIA LOTE 1</t>
  </si>
  <si>
    <t>ALQUILER DE MAQUINARIA LOTE 2</t>
  </si>
  <si>
    <t>ALQUILER DE MAQUINARIA LOTE 3</t>
  </si>
  <si>
    <t>ALQUILER DE MAQUINARIA LOTE 4</t>
  </si>
  <si>
    <t>PROVISION, TRANSPORTE Y ENTREGA DE CORDONES DE ACERA PREFABRICADOS (BORDILLOS) LOTE 1</t>
  </si>
  <si>
    <t>PROVISION, TRANSPORTE Y ENTREGA DE CORDONES DE ACERA PREFABRICADOS (BORDILLOS) LOTE 2</t>
  </si>
  <si>
    <t>PROVISION, TRANSPORTE Y ENTREGA DE CORDONES DE ACERA PREFABRICADOS (BORDILLOS) LOTE 3</t>
  </si>
  <si>
    <t>PROVISION, TRANSPORTE Y ENTREGA DE CORDONES DE ACERA PREFABRICADOS (BORDILLOS) LOTE 4</t>
  </si>
  <si>
    <t>PROVISION, TRANSPORTE Y ENTREGA DE CORDONES DE ACERA PREFABRICADOS (BORDILLOS) LOTE 5</t>
  </si>
  <si>
    <t>PROVISION, TRANSPORTE Y ENTREGA DE CORDONES DE ACERA PREFABRICADOS (BORDILLOS) LOTE 6</t>
  </si>
  <si>
    <t>PROVISION, TRANSPORTE Y ENTREGA DE CORDONES DE ACERA PREFABRICADOS (BORDILLOS) LOTE 7</t>
  </si>
  <si>
    <t xml:space="preserve">CONTRATACION ENSAYOS DE LABORATORIO ENLOSETADO </t>
  </si>
  <si>
    <t>ALQUILER DE TRANSPORTE DE MATERIAL, HERRAMIENTAS CON CARGUIO Y DESCARGUIO</t>
  </si>
  <si>
    <t>ALQUILER DE GALPON PARA DEPOSITO</t>
  </si>
  <si>
    <t>CONTRATACION DE SERENO 1</t>
  </si>
  <si>
    <t>CONTRATACION DE SERENO 2</t>
  </si>
  <si>
    <t>PROVISION, TRANSPORTE Y ENTREGA DE BOLSAS DE CEMENTO LOTE 1</t>
  </si>
  <si>
    <t>PROVISION, TRANSPORTE Y ENTREGA DE BOLSAS DE CEMENTO LOTE 2</t>
  </si>
  <si>
    <t>PROVISION, TRANSPORTE Y ENTREGA DE BOLSAS DE CEMENTO LOTE 3</t>
  </si>
  <si>
    <t>PROVISION, TRANSPORTE Y ENTREGA DE BOLSAS DE CEMENTO LOTE 4</t>
  </si>
  <si>
    <t>PROVISION, TRANSPORTE Y ENTREGA DE BOLSAS DE CEMENTO LOTE 5</t>
  </si>
  <si>
    <t>PROVISION, TRANSPORTE Y ENTREGA DE BOLSAS DE CEMENTO LOTE 6</t>
  </si>
  <si>
    <t>PROVISION, TRANSPORTE Y ENTREGA DE BOLSAS DE CEMENTO LOTE 7</t>
  </si>
  <si>
    <t>ADQUISICION DE PLACAS DE NOMINACION DE CALLES</t>
  </si>
  <si>
    <t>ADQUISICION DE BANNERS Y MATERIAL PUBLICITARIO</t>
  </si>
  <si>
    <t>ADQUISICION MATERIAL SEÑALIZACION VERTICAL Y HORIZONTAL</t>
  </si>
  <si>
    <t>CONTRATACION DE SERVICIO DE TOPOGRAFIA LOTE 1</t>
  </si>
  <si>
    <t>CONTRATACION DE SERVICIO DE TOPOGRAFIA LOTE 2</t>
  </si>
  <si>
    <t xml:space="preserve">PROVISION, TRANSPORTE Y ENTREGA DE HORMIGON SIMPLE H21 </t>
  </si>
  <si>
    <t>PROVISION, TRANSPORTE Y ENTREGA DE MADERA PARA ENCOFRADO INCLUYE ALAMBRE DE AMARRE</t>
  </si>
  <si>
    <t>FECHA ESTIMADA DE INICIO</t>
  </si>
  <si>
    <t>Monto Contratado original Bs</t>
  </si>
  <si>
    <t>Nombre del Ejecutor: Fondo Nacional de Inv. Productiva y Social - FPS</t>
  </si>
  <si>
    <t>OBSERVACIONES</t>
  </si>
  <si>
    <t>MONTO ADJUDICADO Bs</t>
  </si>
  <si>
    <t>Proyecto Nº: BO-29</t>
  </si>
  <si>
    <t>Nombre del Programa: Programa de Construccion de Puentes para el Departamento de Cochabamba</t>
  </si>
  <si>
    <t xml:space="preserve">OBRA </t>
  </si>
  <si>
    <t>Componente</t>
  </si>
  <si>
    <t>CP</t>
  </si>
  <si>
    <t>SUPERVISION</t>
  </si>
  <si>
    <t>Presupuesto Estimado en Bs.</t>
  </si>
  <si>
    <t>Presupuesto Estimado en $us</t>
  </si>
  <si>
    <t>SUPERVISION CONST. PUENTE VEHICULAR CHIMPA WATA MAYU (COLOMI)</t>
  </si>
  <si>
    <t>SUPERVISION CONST. PUENTE VEHICULAR CHORO/CAMINO COCAPATA - COVENDO (COCAPATA)</t>
  </si>
  <si>
    <t>SUPERVISION CONST. PUENTE VEHICULAR CALA CALA (ARQUE (C. VILLA DE ARQUE))</t>
  </si>
  <si>
    <t>SUPERVISION CONST. PUENTE VEHICULAR LA QUEBRADA (COCAPATA)</t>
  </si>
  <si>
    <t>SUPERVISION CONST. PUENTE VEHICULAR SICHES (TOKO)</t>
  </si>
  <si>
    <t>SUPERVISION CONST. PUENTE VEHICULAR CARPANI (BOLIVAR)</t>
  </si>
  <si>
    <t>SUPERVISION CONST. PUENTE VEHICULAR EL VADO - RÍO MIZQUE (PASORAPA)</t>
  </si>
  <si>
    <t>SUPERVISION CONST. PUENTE VEHICULAR TIN TIN THOLA PAMPA  (MIZQUE)</t>
  </si>
  <si>
    <t>SUPERVISION CONST. PUENTE VEHICULAR LEQUE - MEJ CAMINO LEQUE - VILLA PEREYRA (TAPACARI)</t>
  </si>
  <si>
    <t>SUPERVISION CONST. PUENTE VEHICULAR AYCHAMAYU  (TACOPAYA)</t>
  </si>
  <si>
    <t>SUPERVISION CONST. PUENTE VEHICULAR MICAYANI GRANDE (TACOPAYA)</t>
  </si>
  <si>
    <t>SUPERVISION CONST. PUENTE VEHICULAR RIÓ TORCIAS SIND. MARAVILLAS GRANDE (COLOMI)</t>
  </si>
  <si>
    <t>SUPERVISION CONST. PUENTE VEHICULAR CHULLPAS (POJO)</t>
  </si>
  <si>
    <t>SUPERVISION CONST. PUENTE VEHICULAR KOLQUE KOYA (TIRAQUE)</t>
  </si>
  <si>
    <t>SUPERVISION CONST. PUENTE VEHICULAR KATARI MAYU (COLOMI)</t>
  </si>
  <si>
    <t>SUPERVISION CONST. PUENTE VEHICULAR SAN ANTONIO DE MUJLLI  (TAPACARI)</t>
  </si>
  <si>
    <t>SUPERVISION CONST.  PUENTE VEHICULAR YANA MAYU  (TOTORA)</t>
  </si>
  <si>
    <t>SUPERVISION CONST. PUENTE VEHICULAR MILLU AMAYU (TIRAQUE)</t>
  </si>
  <si>
    <t>SUPERVISION CONST. PUENTE VEHICULAR CHANGOLLO, TRAMO APILLAPAMPA - CAYAVI (CAPINOTA)</t>
  </si>
  <si>
    <t>MONTO MODIFICADO Bs</t>
  </si>
  <si>
    <t>MONTO FINAL Bs</t>
  </si>
  <si>
    <t>MONTO FINAL $us</t>
  </si>
  <si>
    <t>Revision Ex Post/ Ex Ante</t>
  </si>
  <si>
    <t>Proponente Adjudicado</t>
  </si>
  <si>
    <t>Ex Post</t>
  </si>
  <si>
    <t>Ex/Ante</t>
  </si>
  <si>
    <t>P</t>
  </si>
  <si>
    <t>29/06/18</t>
  </si>
  <si>
    <t>13/09/18</t>
  </si>
  <si>
    <t>PUENTE VEHICULAR TANTALY (SIPE SIPE)</t>
  </si>
  <si>
    <t>PUENTE VEHICULAR CHIMPA WATA MAYU (COLOMI)</t>
  </si>
  <si>
    <t>PUENTE VEHICULAR CHORO/CAMINO COCAPATA - COVENDO (COCAPATA)</t>
  </si>
  <si>
    <t>PUENTE VEHICULAR CALA CALA (ARQUE (C. VILLA DE ARQUE))</t>
  </si>
  <si>
    <t>PUENTE VEHICULAR LA QUEBRADA (COCAPATA)</t>
  </si>
  <si>
    <t>PUENTE VEHICULAR SICHES (TOKO)</t>
  </si>
  <si>
    <t>PUENTE VEHICULAR CARPANI (BOLIVAR)</t>
  </si>
  <si>
    <t>PUENTE VEHICULAR EL VADO - RÍO MIZQUE (PASORAPA)</t>
  </si>
  <si>
    <t>PUENTE VEHICULAR TIN TIN THOLA PAMPA  (MIZQUE)</t>
  </si>
  <si>
    <t>PUENTE VEHICULAR LEQUE - MEJ CAMINO LEQUE - VILLA PEREYRA (TAPACARI)</t>
  </si>
  <si>
    <t>PUENTE VEHICULAR AYCHAMAYU  (TACOPAYA)</t>
  </si>
  <si>
    <t>PUENTE VEHICULAR MICAYANI GRANDE (TACOPAYA)</t>
  </si>
  <si>
    <t>PUENTE VEHICULAR RIÓ TORCIAS SIND. MARAVILLAS GRANDE (COLOMI)</t>
  </si>
  <si>
    <t>PUENTE VEHICULAR CHULLPAS (POJO)</t>
  </si>
  <si>
    <t>PUENTE VEHICULAR KOLQUE KOYA (TIRAQUE)</t>
  </si>
  <si>
    <t>PUENTE VEHICULAR KATARI MAYU (COLOMI)</t>
  </si>
  <si>
    <t>PUENTE VEHICULAR SAN ANTONIO DE MUJLLI  (TAPACARI)</t>
  </si>
  <si>
    <t>PUENTE VEHICULAR YANA MAYU  (TOTORA)</t>
  </si>
  <si>
    <t>PUENTE VEHICULAR MILLU AMAYU (TIRAQUE)</t>
  </si>
  <si>
    <t>PUENTE VEHICULAR CHANGOLLO, TRAMO APILLAPAMPA - CAYAVI (CAPINOTA)</t>
  </si>
  <si>
    <t>E</t>
  </si>
  <si>
    <t>Planificado/  Ejecutado (P/E)</t>
  </si>
  <si>
    <t>04/09/18</t>
  </si>
  <si>
    <t>28/09/18</t>
  </si>
  <si>
    <t>30/08/18</t>
  </si>
  <si>
    <t xml:space="preserve">CONST. PUENTE VEHICULAR VILA VILA (SIPE SIPE) </t>
  </si>
  <si>
    <t xml:space="preserve">SUPERVISION CONST. PUENTE VEHICULAR VILA VILA (SIPE SIPE) </t>
  </si>
  <si>
    <t>SUPERVISION CONST. PUENTE VEHICULAR TANTALY (SIPE SIPE)</t>
  </si>
  <si>
    <t>Ex/Post</t>
  </si>
  <si>
    <t>LPN</t>
  </si>
  <si>
    <t>20/07/18</t>
  </si>
  <si>
    <t>23/07/18</t>
  </si>
  <si>
    <t>14/09/18</t>
  </si>
  <si>
    <t>01/09/18</t>
  </si>
  <si>
    <t>23/08/18</t>
  </si>
  <si>
    <t>02/09/18</t>
  </si>
  <si>
    <t>Objeto de Contrato</t>
  </si>
  <si>
    <t>25/07/18</t>
  </si>
  <si>
    <t>01/08/18</t>
  </si>
  <si>
    <t>15/08/18</t>
  </si>
  <si>
    <t>LICITACION PUBLICA NACIONAL - OBRAS</t>
  </si>
  <si>
    <t>CONCURSO PUBLICO - CONSULTORES INDIVIDUALES</t>
  </si>
  <si>
    <t>TOTAL GENERAL</t>
  </si>
  <si>
    <t>27/07/18</t>
  </si>
  <si>
    <t>30/07/18</t>
  </si>
  <si>
    <t>21/08/18</t>
  </si>
  <si>
    <t>24/08/18</t>
  </si>
  <si>
    <t>10/09/18</t>
  </si>
  <si>
    <t>CONSTRUCCION DE PUENTES COCHABAMBA (LOTE 1)</t>
  </si>
  <si>
    <t>CONSTRUCCION DE PUENTES COCHABAMBA (LOTE 2)</t>
  </si>
  <si>
    <t>CONSTRUCCION DE PUENTES COCHABAMBA (LOTE 3)</t>
  </si>
  <si>
    <t>CONSTRUCCION DE PUENTES COCHABAMBA (LOTE 4)</t>
  </si>
  <si>
    <t>CONSTRUCCION DE PUENTES COCHABAMBA (LOTE 5)</t>
  </si>
  <si>
    <t>CONSTRUCCION DE PUENTES COCHABAMBA (LOTE 6)</t>
  </si>
  <si>
    <t>CONSTRUCCION DE PUENTES COCHABAMBA (LOTE 7)</t>
  </si>
  <si>
    <t>08/08/18</t>
  </si>
  <si>
    <t>RIEYRI TAPIA CAMACHO</t>
  </si>
  <si>
    <t>NELIO ARIEL CAMACHO GARCIA</t>
  </si>
  <si>
    <t>RENE VICTOR ALVAREZ ENCINAS</t>
  </si>
  <si>
    <t>JUAN ALBARO VILLAZON VALDEZ</t>
  </si>
  <si>
    <t>RAMIRO BELTRAN DELGADILLO</t>
  </si>
  <si>
    <t>RAUL TRIVEÑO GARCIA</t>
  </si>
  <si>
    <t>JUAN CARLOS VERA MALDONADO</t>
  </si>
  <si>
    <t>PORFIRIO DIAZ GUZMAN</t>
  </si>
  <si>
    <t xml:space="preserve">ORLANDO RAMOS FLORES </t>
  </si>
  <si>
    <t>JOSE FREDDY ROCHA CAYO</t>
  </si>
  <si>
    <t>DIOMEDES  TITO QUISPE ARICOMA</t>
  </si>
  <si>
    <t>RAUL ADEMAR  HUAYLLA  MARQUEZ</t>
  </si>
  <si>
    <t>JUAN DANIEL HELGUERO ARANDIA</t>
  </si>
  <si>
    <t>NORMA MILENE HIDALGO IBAÑEZ</t>
  </si>
  <si>
    <t>RUDY ALVARO ORTUBE GUMIEL</t>
  </si>
  <si>
    <t>DONATO LUNA APAZA</t>
  </si>
  <si>
    <t>ESTRATO LTDA</t>
  </si>
  <si>
    <t>A.A. CONSOPRCIO COSVAVE - LEMUEL LTDA</t>
  </si>
  <si>
    <t>A.A. CONSORCIO ENRIQUEZ ASOCIADOS</t>
  </si>
  <si>
    <t>24/09/18</t>
  </si>
  <si>
    <t>05/10/18</t>
  </si>
  <si>
    <t>A.A. DEL SUR</t>
  </si>
  <si>
    <t>29/10/18</t>
  </si>
  <si>
    <t>15/11/18</t>
  </si>
  <si>
    <t>11/12/18</t>
  </si>
  <si>
    <t>20/08/18</t>
  </si>
  <si>
    <t>22/08/18</t>
  </si>
  <si>
    <t>11/09/18</t>
  </si>
  <si>
    <t>01/10/18</t>
  </si>
  <si>
    <t>23/10/18</t>
  </si>
  <si>
    <t>A.A. LUJAN PODCO</t>
  </si>
  <si>
    <t>15/09/18</t>
  </si>
  <si>
    <t>18/09/18</t>
  </si>
  <si>
    <t>26/09/18</t>
  </si>
  <si>
    <t>02/10/18</t>
  </si>
  <si>
    <t>08/10/18</t>
  </si>
  <si>
    <t>26/10/18</t>
  </si>
  <si>
    <t>MONTAÑO SOLIZ GROVER</t>
  </si>
  <si>
    <t>CONTRATADO</t>
  </si>
  <si>
    <t>19/09/18</t>
  </si>
  <si>
    <t>FREDDY SAAVEDRA RIVERA - FSR</t>
  </si>
  <si>
    <t>ALEX WILFREDO UREÑA PEREZ</t>
  </si>
  <si>
    <t>JOHNY ROLANDO ALARCON ARANIBAR</t>
  </si>
  <si>
    <t>GONZALO MIRANDA RODRIGUEZ</t>
  </si>
  <si>
    <t>18/10/18</t>
  </si>
  <si>
    <t>FELIX  WALTER VARGAS CERRUTO</t>
  </si>
  <si>
    <t>20/11/18</t>
  </si>
  <si>
    <t>27/11/18</t>
  </si>
  <si>
    <t>30/10/18</t>
  </si>
  <si>
    <t>ACTIVIDAD NUEVA</t>
  </si>
  <si>
    <t>CONSTRUCCION DE PUENTES COCHABAMBA (LOTE 8)</t>
  </si>
  <si>
    <t>CONST. PUENTE VEHICULAR ASAHUANI (TAPACARI)</t>
  </si>
  <si>
    <t>CONST. PUENTE VEHICULAR TIRAQUE (TIRAQUE)</t>
  </si>
  <si>
    <t>CONST. PUENTE VEHICULAR AV. SANTA CRUZ D6 (TIQUIPAYA)</t>
  </si>
  <si>
    <t>03/12/18</t>
  </si>
  <si>
    <t>SUPERVISION CONST. PUENTE VEHICULAR ASAHUANI (TAPACARI)</t>
  </si>
  <si>
    <t>SUPERVISION CONST. PUENTE VEHICULAR TIRAQUE (TIRAQUE)</t>
  </si>
  <si>
    <t>SUPERVISION CONST. PUENTE VEHICULAR AV. SANTA CRUZ D6 (TIQUIPAYA)</t>
  </si>
  <si>
    <t>17/10/18</t>
  </si>
  <si>
    <t>07/11/18</t>
  </si>
  <si>
    <t>07/12/18</t>
  </si>
  <si>
    <t>16/10/18</t>
  </si>
  <si>
    <t>10/12/18</t>
  </si>
  <si>
    <t>Ex Ante</t>
  </si>
  <si>
    <t>12/12/18</t>
  </si>
  <si>
    <t>03/01/19</t>
  </si>
  <si>
    <t>TOTAL OBRAS AJUDICADAS</t>
  </si>
  <si>
    <t>Bs</t>
  </si>
  <si>
    <t>$US</t>
  </si>
  <si>
    <t>TOTALES</t>
  </si>
  <si>
    <t>MONTO DEL PROGRAMA</t>
  </si>
  <si>
    <t>RESUMEN</t>
  </si>
  <si>
    <t>24/10/2018</t>
  </si>
  <si>
    <t>20/08/2019</t>
  </si>
  <si>
    <t>29/10/2018</t>
  </si>
  <si>
    <t>19/03/2019</t>
  </si>
  <si>
    <t>27/04/2019</t>
  </si>
  <si>
    <t>21/11/2018</t>
  </si>
  <si>
    <t>30/04/2019</t>
  </si>
  <si>
    <t>19/06/2019</t>
  </si>
  <si>
    <t>23/03/2019</t>
  </si>
  <si>
    <t>22/05/2019</t>
  </si>
  <si>
    <t>21/12/2018</t>
  </si>
  <si>
    <t>08/08/2019</t>
  </si>
  <si>
    <t>21/1272018</t>
  </si>
  <si>
    <t>19/0772019</t>
  </si>
  <si>
    <t>09/10/2018</t>
  </si>
  <si>
    <t>07704/2019</t>
  </si>
  <si>
    <t>06/06/2019</t>
  </si>
  <si>
    <t>19/12/2018</t>
  </si>
  <si>
    <t>18/05/2019</t>
  </si>
  <si>
    <t>08/05/2019</t>
  </si>
  <si>
    <t>22/10/2018</t>
  </si>
  <si>
    <t>21/11/2019</t>
  </si>
  <si>
    <t>01/10/2018</t>
  </si>
  <si>
    <t>29/04/2019</t>
  </si>
  <si>
    <t>07/07/2019</t>
  </si>
  <si>
    <t>07/09/2019</t>
  </si>
  <si>
    <t>18/08/2019</t>
  </si>
  <si>
    <t>19/10/2019</t>
  </si>
  <si>
    <t>15/10/2019</t>
  </si>
  <si>
    <t>20/01/2020</t>
  </si>
  <si>
    <t>17/09/2019</t>
  </si>
  <si>
    <t>17/07/2019</t>
  </si>
  <si>
    <t>28/06/2019</t>
  </si>
  <si>
    <t>SE ESTA CONCLUYENDO EL TRÁMITE DE LA LICENCIA AMBIENTAL</t>
  </si>
  <si>
    <t>SE EMITIRA LA ORDEN DE INICIO UNA VEZ CONCLUYA CON LA ENTREGA DE LA GARANTÍA PARA ANTICIPO</t>
  </si>
  <si>
    <t>EN EJECUCIÓN</t>
  </si>
  <si>
    <t>PARA LA EMISIÓN DE LA ORDEN DE INICIO</t>
  </si>
  <si>
    <t>15/02/19</t>
  </si>
  <si>
    <t>25/01/19</t>
  </si>
  <si>
    <t>11/02/19</t>
  </si>
  <si>
    <t>28/02/19</t>
  </si>
  <si>
    <t>ACTIVIDAD NUEVA PARA NO OBJECIÓN</t>
  </si>
  <si>
    <t>1RA CONVOCAT. DESIERTA. 2DA CONVOCATORIA DECLARADA INELEGIBLE (CONTRATO RESUELTO). SE VOLVIO A LICITAR CON REVISIÓN EX ANTE, PARA REMISIÓN DEL INFORME DE CALIFICACIÓN A FONPLATA</t>
  </si>
  <si>
    <t>28/01/19</t>
  </si>
  <si>
    <t>29/01/19</t>
  </si>
  <si>
    <t>06/02/19</t>
  </si>
  <si>
    <t>08/02/19</t>
  </si>
  <si>
    <t>25/02/19</t>
  </si>
  <si>
    <t>08/03/19</t>
  </si>
  <si>
    <t>la actividad 16 cambia a ex post y la 32 sera ex ante</t>
  </si>
  <si>
    <t>SALDO DEL PROGRAMA</t>
  </si>
  <si>
    <t>OBRAS POR ADJUDICAR (PUENTE 2 Y 8 MONTOS REF. )</t>
  </si>
  <si>
    <t>TOTAL SUPERVISION (INCLUYE PUENTE 8)</t>
  </si>
  <si>
    <t>"FONPLATA acuerda con todos sus beneficiarios y prestatarios, el uso y cumplimiento de los principios y procedimientos regulados en sus Políticas para la Adquisición de bienes, obras y servicios en Operaciones financiadas por FONPLATA (R.D. 1394/2017).
La publicación de los Planes Anuales de Adquisiciones (PAC) vigentes y concluidos, tiene como única finalidad, la divulgación de la información contenida en los mismos. Siendo que los Beneficiarios y Prestatarios de las operaciones financiadas por FONPLATA son los responsables últimos en la ejecución de las mismas, FONPLATA no se responsabiliza por el contenido de dichos documentos.
Informaciones adicionales deberán requerirse directamente del Beneficiario, Prestatario y/o Organismo Ejecutor."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</si>
</sst>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quot;;[Red]\-#,##0.00\ &quot;€&quot;"/>
    <numFmt numFmtId="165" formatCode="_-* #,##0.00\ _€_-;\-* #,##0.00\ _€_-;_-* &quot;-&quot;??\ _€_-;_-@_-"/>
    <numFmt numFmtId="166" formatCode="_(* #,##0.00_);_(* \(#,##0.00\);_(* &quot;-&quot;??_);_(@_)"/>
    <numFmt numFmtId="167" formatCode="_(* #,##0_);_(* \(#,##0\);_(* &quot;-&quot;??_);_(@_)"/>
  </numFmts>
  <fonts count="54"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12"/>
      <name val="Arial"/>
      <family val="2"/>
    </font>
    <font>
      <sz val="10"/>
      <name val="Arial"/>
      <family val="2"/>
    </font>
    <font>
      <sz val="8"/>
      <name val="Arial"/>
      <family val="2"/>
    </font>
    <font>
      <b/>
      <sz val="12"/>
      <name val="Times New Roman"/>
      <family val="1"/>
    </font>
    <font>
      <sz val="10"/>
      <name val="Times New Roman"/>
      <family val="1"/>
    </font>
    <font>
      <sz val="9"/>
      <name val="Arial"/>
      <family val="2"/>
    </font>
    <font>
      <b/>
      <sz val="10"/>
      <name val="Times New Roman"/>
      <family val="1"/>
    </font>
    <font>
      <u/>
      <sz val="10"/>
      <name val="Times New Roman"/>
      <family val="1"/>
    </font>
    <font>
      <b/>
      <sz val="11"/>
      <name val="Times New Roman"/>
      <family val="1"/>
    </font>
    <font>
      <sz val="7"/>
      <name val="Times New Roman"/>
      <family val="1"/>
    </font>
    <font>
      <sz val="9"/>
      <name val="Times New Roman"/>
      <family val="1"/>
    </font>
    <font>
      <u/>
      <sz val="9"/>
      <name val="Arial"/>
      <family val="2"/>
    </font>
    <font>
      <sz val="10"/>
      <color indexed="9"/>
      <name val="Times New Roman"/>
      <family val="1"/>
    </font>
    <font>
      <sz val="8"/>
      <color indexed="81"/>
      <name val="Tahoma"/>
      <family val="2"/>
    </font>
    <font>
      <b/>
      <sz val="8"/>
      <color indexed="81"/>
      <name val="Tahoma"/>
      <family val="2"/>
    </font>
    <font>
      <sz val="10"/>
      <name val="Verdana"/>
      <family val="2"/>
    </font>
    <font>
      <b/>
      <sz val="10"/>
      <color indexed="9"/>
      <name val="Arial"/>
      <family val="2"/>
    </font>
    <font>
      <b/>
      <sz val="8"/>
      <name val="Arial"/>
      <family val="2"/>
    </font>
    <font>
      <sz val="10"/>
      <color indexed="9"/>
      <name val="Arial"/>
      <family val="2"/>
    </font>
    <font>
      <b/>
      <sz val="10"/>
      <color indexed="12"/>
      <name val="Arial"/>
      <family val="2"/>
    </font>
    <font>
      <b/>
      <u/>
      <sz val="10"/>
      <name val="Arial"/>
      <family val="2"/>
    </font>
    <font>
      <sz val="10"/>
      <color theme="1"/>
      <name val="Arial"/>
      <family val="2"/>
    </font>
    <font>
      <sz val="10"/>
      <color theme="3" tint="0.39997558519241921"/>
      <name val="Arial"/>
      <family val="2"/>
    </font>
    <font>
      <sz val="9"/>
      <color indexed="81"/>
      <name val="Tahoma"/>
      <family val="2"/>
    </font>
    <font>
      <b/>
      <sz val="9"/>
      <color indexed="81"/>
      <name val="Tahoma"/>
      <family val="2"/>
    </font>
    <font>
      <b/>
      <sz val="9"/>
      <name val="Arial"/>
      <family val="2"/>
    </font>
    <font>
      <sz val="10"/>
      <color rgb="FFFF0000"/>
      <name val="Arial"/>
      <family val="2"/>
    </font>
    <font>
      <sz val="10"/>
      <color indexed="63"/>
      <name val="Arial"/>
      <family val="2"/>
    </font>
    <font>
      <sz val="10"/>
      <color rgb="FF0070C0"/>
      <name val="Arial"/>
      <family val="2"/>
    </font>
    <font>
      <sz val="10"/>
      <color rgb="FF7030A0"/>
      <name val="Arial"/>
      <family val="2"/>
    </font>
    <font>
      <b/>
      <sz val="10"/>
      <color rgb="FF7030A0"/>
      <name val="Arial"/>
      <family val="2"/>
    </font>
    <font>
      <sz val="11"/>
      <color indexed="63"/>
      <name val="Arial"/>
      <family val="2"/>
    </font>
    <font>
      <b/>
      <sz val="20"/>
      <color theme="0"/>
      <name val="Arial"/>
      <family val="2"/>
    </font>
    <font>
      <sz val="14"/>
      <color rgb="FFFF0000"/>
      <name val="Arial"/>
      <family val="2"/>
    </font>
    <font>
      <b/>
      <sz val="11"/>
      <name val="Arial"/>
      <family val="2"/>
    </font>
    <font>
      <sz val="11"/>
      <name val="Arial"/>
      <family val="2"/>
    </font>
    <font>
      <sz val="12"/>
      <name val="Arial"/>
      <family val="2"/>
    </font>
    <font>
      <b/>
      <sz val="11"/>
      <color rgb="FFFF0000"/>
      <name val="Arial"/>
      <family val="2"/>
    </font>
    <font>
      <sz val="11"/>
      <color rgb="FFFF0000"/>
      <name val="Arial"/>
      <family val="2"/>
    </font>
    <font>
      <sz val="12"/>
      <color rgb="FFFF0000"/>
      <name val="Arial"/>
      <family val="2"/>
    </font>
    <font>
      <b/>
      <sz val="10"/>
      <color rgb="FFFF0000"/>
      <name val="Arial"/>
      <family val="2"/>
    </font>
    <font>
      <sz val="9"/>
      <color rgb="FFFF0000"/>
      <name val="Arial"/>
      <family val="2"/>
    </font>
    <font>
      <b/>
      <sz val="11"/>
      <color rgb="FF0070C0"/>
      <name val="Arial"/>
      <family val="2"/>
    </font>
    <font>
      <b/>
      <sz val="9"/>
      <name val="Calibri"/>
      <family val="2"/>
      <scheme val="minor"/>
    </font>
    <font>
      <b/>
      <sz val="9"/>
      <color rgb="FFFF0000"/>
      <name val="Arial"/>
      <family val="2"/>
    </font>
    <font>
      <sz val="9"/>
      <color rgb="FF0070C0"/>
      <name val="Arial"/>
      <family val="2"/>
    </font>
    <font>
      <sz val="10"/>
      <color indexed="63"/>
      <name val="Arial"/>
      <family val="2"/>
    </font>
    <font>
      <i/>
      <sz val="9"/>
      <color theme="0"/>
      <name val="Arial"/>
      <family val="2"/>
    </font>
  </fonts>
  <fills count="38">
    <fill>
      <patternFill patternType="none"/>
    </fill>
    <fill>
      <patternFill patternType="gray125"/>
    </fill>
    <fill>
      <patternFill patternType="solid">
        <fgColor indexed="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rgb="FF92D050"/>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bgColor indexed="64"/>
      </patternFill>
    </fill>
    <fill>
      <patternFill patternType="solid">
        <fgColor indexed="62"/>
        <bgColor indexed="64"/>
      </patternFill>
    </fill>
    <fill>
      <patternFill patternType="solid">
        <fgColor indexed="55"/>
        <bgColor indexed="64"/>
      </patternFill>
    </fill>
    <fill>
      <patternFill patternType="solid">
        <fgColor indexed="11"/>
        <bgColor indexed="64"/>
      </patternFill>
    </fill>
    <fill>
      <patternFill patternType="solid">
        <fgColor theme="5" tint="0.59999389629810485"/>
        <bgColor indexed="64"/>
      </patternFill>
    </fill>
    <fill>
      <patternFill patternType="solid">
        <fgColor theme="4" tint="0.39997558519241921"/>
        <bgColor indexed="64"/>
      </patternFill>
    </fill>
    <fill>
      <patternFill patternType="gray0625">
        <bgColor auto="1"/>
      </patternFill>
    </fill>
    <fill>
      <patternFill patternType="gray0625"/>
    </fill>
    <fill>
      <patternFill patternType="gray0625">
        <bgColor theme="0"/>
      </patternFill>
    </fill>
    <fill>
      <patternFill patternType="solid">
        <fgColor theme="0" tint="-0.249977111117893"/>
        <bgColor indexed="64"/>
      </patternFill>
    </fill>
    <fill>
      <patternFill patternType="solid">
        <fgColor rgb="FF00B0F0"/>
        <bgColor indexed="64"/>
      </patternFill>
    </fill>
    <fill>
      <patternFill patternType="solid">
        <fgColor theme="6" tint="-0.249977111117893"/>
        <bgColor indexed="64"/>
      </patternFill>
    </fill>
    <fill>
      <patternFill patternType="solid">
        <fgColor rgb="FF7030A0"/>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theme="4" tint="0.59999389629810485"/>
        <bgColor indexed="64"/>
      </patternFill>
    </fill>
    <fill>
      <patternFill patternType="solid">
        <fgColor rgb="FFFFFFFF"/>
        <bgColor indexed="64"/>
      </patternFill>
    </fill>
    <fill>
      <patternFill patternType="solid">
        <fgColor rgb="FFF6FFEA"/>
        <bgColor indexed="64"/>
      </patternFill>
    </fill>
    <fill>
      <patternFill patternType="solid">
        <fgColor theme="1" tint="0.14999847407452621"/>
        <bgColor indexed="64"/>
      </patternFill>
    </fill>
    <fill>
      <gradientFill degree="90">
        <stop position="0">
          <color theme="0" tint="-0.49803155613879818"/>
        </stop>
        <stop position="0.5">
          <color theme="0" tint="-0.25098422193060094"/>
        </stop>
        <stop position="1">
          <color theme="0" tint="-0.49803155613879818"/>
        </stop>
      </gradientFill>
    </fill>
    <fill>
      <gradientFill degree="90">
        <stop position="0">
          <color theme="0" tint="-0.34900967436750391"/>
        </stop>
        <stop position="0.5">
          <color theme="0" tint="-0.25098422193060094"/>
        </stop>
        <stop position="1">
          <color theme="0" tint="-0.34900967436750391"/>
        </stop>
      </gradientFill>
    </fill>
    <fill>
      <patternFill patternType="solid">
        <fgColor rgb="FF92D050"/>
        <bgColor auto="1"/>
      </patternFill>
    </fill>
    <fill>
      <patternFill patternType="solid">
        <fgColor theme="8" tint="0.39997558519241921"/>
        <bgColor indexed="64"/>
      </patternFill>
    </fill>
    <fill>
      <patternFill patternType="solid">
        <fgColor theme="1" tint="0.249977111117893"/>
        <bgColor indexed="64"/>
      </patternFill>
    </fill>
  </fills>
  <borders count="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right/>
      <top style="thin">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top/>
      <bottom style="thin">
        <color indexed="64"/>
      </bottom>
      <diagonal/>
    </border>
    <border>
      <left style="thin">
        <color rgb="FFAAAAAA"/>
      </left>
      <right style="thin">
        <color rgb="FFAAAAAA"/>
      </right>
      <top style="thin">
        <color rgb="FFAAAAAA"/>
      </top>
      <bottom style="thin">
        <color rgb="FFAAAAAA"/>
      </bottom>
      <diagonal/>
    </border>
    <border>
      <left style="thin">
        <color indexed="64"/>
      </left>
      <right/>
      <top/>
      <bottom/>
      <diagonal/>
    </border>
  </borders>
  <cellStyleXfs count="18">
    <xf numFmtId="0" fontId="0" fillId="0" borderId="0"/>
    <xf numFmtId="166" fontId="3" fillId="0" borderId="0" applyFont="0" applyFill="0" applyBorder="0" applyAlignment="0" applyProtection="0"/>
    <xf numFmtId="166" fontId="3" fillId="0" borderId="0" applyFont="0" applyFill="0" applyBorder="0" applyAlignment="0" applyProtection="0"/>
    <xf numFmtId="0" fontId="21" fillId="0" borderId="0"/>
    <xf numFmtId="0" fontId="3" fillId="0" borderId="0"/>
    <xf numFmtId="0" fontId="3" fillId="0" borderId="0"/>
    <xf numFmtId="0" fontId="3" fillId="0" borderId="0"/>
    <xf numFmtId="166" fontId="3" fillId="0" borderId="0" applyFont="0" applyFill="0" applyBorder="0" applyAlignment="0" applyProtection="0"/>
    <xf numFmtId="0" fontId="33" fillId="30" borderId="47" applyNumberFormat="0" applyProtection="0">
      <alignment horizontal="left"/>
    </xf>
    <xf numFmtId="164" fontId="33" fillId="30" borderId="47" applyProtection="0">
      <alignment horizontal="right"/>
    </xf>
    <xf numFmtId="165" fontId="2" fillId="0" borderId="0" applyFont="0" applyFill="0" applyBorder="0" applyAlignment="0" applyProtection="0"/>
    <xf numFmtId="0" fontId="1" fillId="0" borderId="0"/>
    <xf numFmtId="165" fontId="1" fillId="0" borderId="0" applyFont="0" applyFill="0" applyBorder="0" applyAlignment="0" applyProtection="0"/>
    <xf numFmtId="166" fontId="3" fillId="0" borderId="0" applyFont="0" applyFill="0" applyBorder="0" applyAlignment="0" applyProtection="0"/>
    <xf numFmtId="0" fontId="3" fillId="0" borderId="0"/>
    <xf numFmtId="0" fontId="33" fillId="31" borderId="47" applyNumberFormat="0" applyProtection="0">
      <alignment horizontal="left"/>
    </xf>
    <xf numFmtId="164" fontId="33" fillId="31" borderId="47" applyProtection="0">
      <alignment horizontal="right"/>
    </xf>
    <xf numFmtId="0" fontId="52" fillId="31" borderId="47" applyNumberFormat="0" applyProtection="0">
      <alignment horizontal="center"/>
    </xf>
  </cellStyleXfs>
  <cellXfs count="571">
    <xf numFmtId="0" fontId="0" fillId="0" borderId="0" xfId="0"/>
    <xf numFmtId="0" fontId="9" fillId="0" borderId="0" xfId="0" applyFont="1" applyBorder="1" applyAlignment="1">
      <alignment vertical="top" wrapText="1"/>
    </xf>
    <xf numFmtId="0" fontId="10" fillId="0" borderId="0" xfId="0" applyFont="1" applyBorder="1" applyAlignment="1">
      <alignment horizontal="right"/>
    </xf>
    <xf numFmtId="0" fontId="0" fillId="0" borderId="8" xfId="0" applyBorder="1"/>
    <xf numFmtId="0" fontId="0" fillId="0" borderId="0" xfId="0" applyBorder="1" applyAlignment="1"/>
    <xf numFmtId="0" fontId="11" fillId="0" borderId="8" xfId="0" applyFont="1" applyBorder="1" applyAlignment="1">
      <alignment horizontal="justify" vertical="top" wrapText="1"/>
    </xf>
    <xf numFmtId="0" fontId="10" fillId="0" borderId="9" xfId="0" applyFont="1" applyBorder="1" applyAlignment="1">
      <alignment vertical="top" wrapText="1"/>
    </xf>
    <xf numFmtId="0" fontId="10" fillId="0" borderId="10" xfId="0" applyFont="1" applyBorder="1" applyAlignment="1">
      <alignment horizontal="left" vertical="top" wrapText="1"/>
    </xf>
    <xf numFmtId="0" fontId="13" fillId="0" borderId="11" xfId="0" applyFont="1" applyBorder="1" applyAlignment="1">
      <alignment wrapText="1"/>
    </xf>
    <xf numFmtId="0" fontId="10" fillId="0" borderId="8" xfId="0" applyFont="1" applyBorder="1" applyAlignment="1">
      <alignment wrapText="1"/>
    </xf>
    <xf numFmtId="0" fontId="10" fillId="0" borderId="0" xfId="0" applyFont="1" applyBorder="1" applyAlignment="1">
      <alignment wrapText="1"/>
    </xf>
    <xf numFmtId="0" fontId="10" fillId="0" borderId="6" xfId="0" applyFont="1" applyBorder="1" applyAlignment="1">
      <alignment wrapText="1"/>
    </xf>
    <xf numFmtId="0" fontId="10" fillId="0" borderId="8" xfId="0" applyFont="1" applyBorder="1" applyAlignment="1">
      <alignment horizontal="center" vertical="top" wrapText="1"/>
    </xf>
    <xf numFmtId="0" fontId="10" fillId="0" borderId="6" xfId="0" applyFont="1" applyBorder="1" applyAlignment="1">
      <alignment horizontal="center" vertical="top" wrapText="1"/>
    </xf>
    <xf numFmtId="0" fontId="0" fillId="0" borderId="6" xfId="0" applyBorder="1"/>
    <xf numFmtId="0" fontId="10" fillId="0" borderId="12" xfId="0" applyFont="1" applyBorder="1" applyAlignment="1">
      <alignment wrapText="1"/>
    </xf>
    <xf numFmtId="0" fontId="10" fillId="0" borderId="13" xfId="0" applyFont="1" applyBorder="1" applyAlignment="1">
      <alignment wrapText="1"/>
    </xf>
    <xf numFmtId="0" fontId="10" fillId="0" borderId="14" xfId="0" applyFont="1" applyBorder="1" applyAlignment="1">
      <alignment wrapText="1"/>
    </xf>
    <xf numFmtId="0" fontId="10" fillId="0" borderId="0" xfId="0" applyFont="1" applyBorder="1" applyAlignment="1">
      <alignment vertical="top" wrapText="1"/>
    </xf>
    <xf numFmtId="0" fontId="0" fillId="0" borderId="0" xfId="0" applyBorder="1"/>
    <xf numFmtId="0" fontId="10" fillId="0" borderId="8" xfId="0" applyFont="1" applyBorder="1" applyAlignment="1">
      <alignment vertical="top" wrapText="1"/>
    </xf>
    <xf numFmtId="0" fontId="10" fillId="0" borderId="0" xfId="0" applyFont="1" applyBorder="1" applyAlignment="1">
      <alignment horizontal="center" vertical="top" wrapText="1"/>
    </xf>
    <xf numFmtId="0" fontId="7" fillId="0" borderId="0" xfId="0" applyFont="1" applyBorder="1" applyAlignment="1">
      <alignment horizontal="justify" vertical="top" wrapText="1"/>
    </xf>
    <xf numFmtId="0" fontId="7" fillId="0" borderId="6" xfId="0" applyFont="1" applyBorder="1" applyAlignment="1">
      <alignment horizontal="justify" vertical="top" wrapText="1"/>
    </xf>
    <xf numFmtId="0" fontId="10" fillId="0" borderId="15" xfId="0" applyFont="1" applyBorder="1" applyAlignment="1">
      <alignment horizontal="center" vertical="top" wrapText="1"/>
    </xf>
    <xf numFmtId="0" fontId="10" fillId="0" borderId="1" xfId="0" applyFont="1" applyBorder="1" applyAlignment="1">
      <alignment horizontal="center" vertical="top" wrapText="1"/>
    </xf>
    <xf numFmtId="0" fontId="11" fillId="0" borderId="0" xfId="0" applyFont="1" applyBorder="1" applyAlignment="1">
      <alignment horizontal="justify" vertical="top" wrapText="1"/>
    </xf>
    <xf numFmtId="166" fontId="10" fillId="0" borderId="27" xfId="1" applyFont="1" applyBorder="1" applyAlignment="1">
      <alignment horizontal="left" vertical="top" wrapText="1"/>
    </xf>
    <xf numFmtId="3" fontId="13" fillId="0" borderId="6" xfId="0" applyNumberFormat="1" applyFont="1" applyBorder="1" applyAlignment="1">
      <alignment horizontal="center" vertical="top" wrapText="1"/>
    </xf>
    <xf numFmtId="3" fontId="10" fillId="0" borderId="28" xfId="0" applyNumberFormat="1" applyFont="1" applyBorder="1" applyAlignment="1">
      <alignment horizontal="center" vertical="top" wrapText="1"/>
    </xf>
    <xf numFmtId="0" fontId="13" fillId="0" borderId="29" xfId="0" applyFont="1" applyBorder="1" applyAlignment="1">
      <alignment horizontal="center" vertical="top" wrapText="1"/>
    </xf>
    <xf numFmtId="0" fontId="10" fillId="0" borderId="30" xfId="0" applyFont="1" applyBorder="1" applyAlignment="1">
      <alignment horizontal="center" vertical="top" wrapText="1"/>
    </xf>
    <xf numFmtId="166" fontId="10" fillId="0" borderId="8" xfId="1" applyFont="1" applyBorder="1" applyAlignment="1">
      <alignment vertical="top" wrapText="1"/>
    </xf>
    <xf numFmtId="166" fontId="10" fillId="0" borderId="31" xfId="1" applyFont="1" applyBorder="1" applyAlignment="1">
      <alignment vertical="top" wrapText="1"/>
    </xf>
    <xf numFmtId="166" fontId="10" fillId="0" borderId="0" xfId="1" applyFont="1" applyBorder="1" applyAlignment="1">
      <alignment vertical="top" wrapText="1"/>
    </xf>
    <xf numFmtId="0" fontId="10" fillId="0" borderId="28" xfId="0" applyFont="1" applyBorder="1" applyAlignment="1">
      <alignment horizontal="center" vertical="top" wrapText="1"/>
    </xf>
    <xf numFmtId="0" fontId="7" fillId="0" borderId="0" xfId="0" applyFont="1"/>
    <xf numFmtId="0" fontId="22" fillId="13" borderId="2" xfId="0" applyFont="1" applyFill="1" applyBorder="1" applyAlignment="1" applyProtection="1">
      <alignment horizontal="center" vertical="center"/>
      <protection locked="0"/>
    </xf>
    <xf numFmtId="0" fontId="3" fillId="2" borderId="2" xfId="0" applyFont="1" applyFill="1" applyBorder="1" applyAlignment="1" applyProtection="1">
      <alignment horizontal="justify" vertical="top"/>
      <protection locked="0"/>
    </xf>
    <xf numFmtId="0" fontId="0" fillId="2" borderId="2" xfId="0" applyFill="1" applyBorder="1" applyAlignment="1" applyProtection="1">
      <alignment horizontal="justify" vertical="top"/>
      <protection locked="0"/>
    </xf>
    <xf numFmtId="14" fontId="0" fillId="2" borderId="2" xfId="0" applyNumberFormat="1" applyFill="1" applyBorder="1" applyAlignment="1" applyProtection="1">
      <alignment horizontal="center" vertical="center"/>
      <protection locked="0"/>
    </xf>
    <xf numFmtId="0" fontId="3" fillId="0" borderId="2" xfId="0" applyNumberFormat="1" applyFont="1" applyBorder="1" applyAlignment="1" applyProtection="1">
      <alignment horizontal="center" vertical="top"/>
      <protection locked="0"/>
    </xf>
    <xf numFmtId="0" fontId="25" fillId="15" borderId="2" xfId="0" applyFont="1" applyFill="1" applyBorder="1" applyAlignment="1" applyProtection="1">
      <alignment horizontal="center" vertical="center"/>
      <protection locked="0"/>
    </xf>
    <xf numFmtId="0" fontId="3" fillId="0" borderId="0" xfId="0" applyFont="1"/>
    <xf numFmtId="0" fontId="22" fillId="13" borderId="18" xfId="0" applyFont="1" applyFill="1" applyBorder="1" applyAlignment="1" applyProtection="1">
      <alignment horizontal="center" vertical="center"/>
      <protection locked="0"/>
    </xf>
    <xf numFmtId="0" fontId="25" fillId="15" borderId="18" xfId="0" applyFont="1" applyFill="1" applyBorder="1" applyAlignment="1" applyProtection="1">
      <alignment horizontal="center" vertical="center"/>
      <protection locked="0"/>
    </xf>
    <xf numFmtId="0" fontId="3" fillId="2" borderId="4" xfId="0" applyFont="1" applyFill="1" applyBorder="1" applyAlignment="1" applyProtection="1">
      <alignment vertical="top" wrapText="1"/>
      <protection locked="0"/>
    </xf>
    <xf numFmtId="0" fontId="3" fillId="2" borderId="16" xfId="0" applyFont="1" applyFill="1" applyBorder="1" applyAlignment="1" applyProtection="1">
      <alignment vertical="top" wrapText="1"/>
      <protection locked="0"/>
    </xf>
    <xf numFmtId="0" fontId="3" fillId="2" borderId="17" xfId="0" applyFont="1" applyFill="1" applyBorder="1" applyAlignment="1" applyProtection="1">
      <alignment horizontal="justify" vertical="top"/>
      <protection locked="0"/>
    </xf>
    <xf numFmtId="14" fontId="0" fillId="2" borderId="17" xfId="0" applyNumberFormat="1" applyFill="1" applyBorder="1" applyAlignment="1" applyProtection="1">
      <alignment horizontal="center" vertical="center"/>
      <protection locked="0"/>
    </xf>
    <xf numFmtId="0" fontId="3" fillId="2" borderId="0" xfId="0" applyFont="1" applyFill="1" applyBorder="1" applyAlignment="1">
      <alignment horizontal="left" vertical="center" wrapText="1"/>
    </xf>
    <xf numFmtId="166" fontId="3" fillId="2" borderId="0" xfId="1" applyFont="1" applyFill="1" applyBorder="1" applyAlignment="1">
      <alignment horizontal="left" vertical="center" wrapText="1"/>
    </xf>
    <xf numFmtId="167" fontId="3" fillId="2" borderId="0" xfId="1" applyNumberFormat="1" applyFont="1" applyFill="1" applyBorder="1" applyAlignment="1">
      <alignment vertical="center" wrapText="1"/>
    </xf>
    <xf numFmtId="0" fontId="3"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4" fillId="5" borderId="2" xfId="4" applyFont="1" applyFill="1" applyBorder="1" applyAlignment="1">
      <alignment vertical="center" wrapText="1"/>
    </xf>
    <xf numFmtId="0" fontId="3" fillId="8" borderId="2" xfId="4" applyFont="1" applyFill="1" applyBorder="1" applyAlignment="1">
      <alignment vertical="center" wrapText="1"/>
    </xf>
    <xf numFmtId="0" fontId="3" fillId="11" borderId="2" xfId="4" applyFont="1" applyFill="1" applyBorder="1" applyAlignment="1">
      <alignment vertical="center" wrapText="1"/>
    </xf>
    <xf numFmtId="0" fontId="3" fillId="0" borderId="0" xfId="0" applyFont="1" applyFill="1"/>
    <xf numFmtId="0" fontId="3" fillId="0" borderId="0" xfId="0" applyFont="1" applyBorder="1" applyAlignment="1">
      <alignment horizontal="left" vertical="center" wrapText="1"/>
    </xf>
    <xf numFmtId="0" fontId="3" fillId="6" borderId="23" xfId="0" applyFont="1" applyFill="1" applyBorder="1" applyAlignment="1">
      <alignment vertical="center" wrapText="1"/>
    </xf>
    <xf numFmtId="166" fontId="3" fillId="2" borderId="0" xfId="1" applyFont="1" applyFill="1" applyAlignment="1">
      <alignment vertical="center" wrapText="1"/>
    </xf>
    <xf numFmtId="167" fontId="3" fillId="2" borderId="0" xfId="1" applyNumberFormat="1" applyFont="1" applyFill="1" applyAlignment="1">
      <alignment vertical="center" wrapText="1"/>
    </xf>
    <xf numFmtId="167" fontId="3" fillId="0" borderId="0" xfId="0" applyNumberFormat="1" applyFont="1"/>
    <xf numFmtId="0" fontId="3" fillId="3" borderId="23" xfId="0" applyFont="1" applyFill="1" applyBorder="1" applyAlignment="1">
      <alignment vertical="center" wrapText="1"/>
    </xf>
    <xf numFmtId="0" fontId="3" fillId="7" borderId="2" xfId="0" applyFont="1" applyFill="1" applyBorder="1" applyAlignment="1">
      <alignment vertical="center" wrapText="1"/>
    </xf>
    <xf numFmtId="167" fontId="3" fillId="2" borderId="0" xfId="1" applyNumberFormat="1" applyFont="1" applyFill="1" applyBorder="1" applyAlignment="1">
      <alignment horizontal="right" vertical="center" wrapText="1"/>
    </xf>
    <xf numFmtId="0" fontId="3" fillId="0" borderId="0" xfId="0" applyFont="1" applyBorder="1"/>
    <xf numFmtId="166" fontId="3" fillId="0" borderId="0" xfId="0" applyNumberFormat="1" applyFont="1"/>
    <xf numFmtId="0" fontId="3" fillId="0" borderId="2" xfId="4" applyFont="1" applyFill="1" applyBorder="1" applyAlignment="1">
      <alignment vertical="center" wrapText="1"/>
    </xf>
    <xf numFmtId="0" fontId="4" fillId="2" borderId="0" xfId="0" applyFont="1" applyFill="1" applyBorder="1" applyAlignment="1">
      <alignment horizontal="left" vertical="center" wrapText="1"/>
    </xf>
    <xf numFmtId="0" fontId="3" fillId="0" borderId="2" xfId="0" applyFont="1" applyFill="1" applyBorder="1" applyAlignment="1">
      <alignment wrapText="1"/>
    </xf>
    <xf numFmtId="3" fontId="3" fillId="8" borderId="2" xfId="1" applyNumberFormat="1" applyFont="1" applyFill="1" applyBorder="1" applyAlignment="1">
      <alignment horizontal="center" vertical="center" wrapText="1"/>
    </xf>
    <xf numFmtId="3" fontId="3" fillId="0" borderId="2" xfId="1" applyNumberFormat="1" applyFont="1" applyFill="1" applyBorder="1" applyAlignment="1">
      <alignment horizontal="center" vertical="center" wrapText="1"/>
    </xf>
    <xf numFmtId="3" fontId="3" fillId="11" borderId="2" xfId="1" applyNumberFormat="1" applyFont="1" applyFill="1" applyBorder="1" applyAlignment="1">
      <alignment horizontal="center" vertical="center" wrapText="1"/>
    </xf>
    <xf numFmtId="3" fontId="3" fillId="12" borderId="2" xfId="1" applyNumberFormat="1" applyFont="1" applyFill="1" applyBorder="1" applyAlignment="1">
      <alignment horizontal="center" vertical="center" wrapText="1"/>
    </xf>
    <xf numFmtId="3" fontId="27" fillId="0" borderId="2" xfId="0" applyNumberFormat="1" applyFont="1" applyFill="1" applyBorder="1" applyAlignment="1">
      <alignment horizontal="center" vertical="center"/>
    </xf>
    <xf numFmtId="3" fontId="3" fillId="10" borderId="2" xfId="1" applyNumberFormat="1" applyFont="1" applyFill="1" applyBorder="1" applyAlignment="1">
      <alignment horizontal="center" vertical="center" wrapText="1"/>
    </xf>
    <xf numFmtId="3" fontId="3" fillId="17" borderId="2" xfId="1" applyNumberFormat="1" applyFont="1" applyFill="1" applyBorder="1" applyAlignment="1">
      <alignment horizontal="center" vertical="center" wrapText="1"/>
    </xf>
    <xf numFmtId="3" fontId="3" fillId="7" borderId="2" xfId="1" applyNumberFormat="1" applyFont="1" applyFill="1" applyBorder="1" applyAlignment="1">
      <alignment horizontal="center" vertical="center" wrapText="1"/>
    </xf>
    <xf numFmtId="3" fontId="4" fillId="5" borderId="2" xfId="1"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xf>
    <xf numFmtId="3" fontId="27" fillId="11" borderId="2" xfId="0" applyNumberFormat="1" applyFont="1" applyFill="1" applyBorder="1" applyAlignment="1">
      <alignment horizontal="center" vertical="center"/>
    </xf>
    <xf numFmtId="0" fontId="3" fillId="8" borderId="31" xfId="0" applyFont="1" applyFill="1" applyBorder="1" applyAlignment="1">
      <alignment horizontal="left" vertical="center" wrapText="1"/>
    </xf>
    <xf numFmtId="0" fontId="3" fillId="11" borderId="31" xfId="0" applyFont="1" applyFill="1" applyBorder="1" applyAlignment="1">
      <alignment horizontal="left" vertical="center" wrapText="1"/>
    </xf>
    <xf numFmtId="0" fontId="3" fillId="0" borderId="31" xfId="0" applyFont="1" applyBorder="1" applyAlignment="1">
      <alignment horizontal="left" vertical="center" wrapText="1"/>
    </xf>
    <xf numFmtId="0" fontId="3" fillId="0" borderId="31" xfId="0" applyFont="1" applyFill="1" applyBorder="1" applyAlignment="1">
      <alignment horizontal="left" vertical="center" wrapText="1"/>
    </xf>
    <xf numFmtId="0" fontId="3" fillId="17" borderId="31" xfId="0" applyFont="1" applyFill="1" applyBorder="1" applyAlignment="1">
      <alignment horizontal="left" vertical="center" wrapText="1"/>
    </xf>
    <xf numFmtId="0" fontId="4" fillId="5" borderId="31" xfId="0" applyFont="1" applyFill="1" applyBorder="1" applyAlignment="1">
      <alignment horizontal="left" vertical="center" wrapText="1"/>
    </xf>
    <xf numFmtId="3" fontId="3" fillId="5" borderId="2" xfId="1" applyNumberFormat="1" applyFont="1" applyFill="1" applyBorder="1" applyAlignment="1">
      <alignment horizontal="center" vertical="center" wrapText="1"/>
    </xf>
    <xf numFmtId="0" fontId="3" fillId="2" borderId="2" xfId="0" applyFont="1" applyFill="1" applyBorder="1" applyAlignment="1">
      <alignment vertical="center" wrapText="1"/>
    </xf>
    <xf numFmtId="3" fontId="3" fillId="0" borderId="2" xfId="1" applyNumberFormat="1" applyFont="1" applyBorder="1" applyAlignment="1">
      <alignment horizontal="center" vertical="center" wrapText="1"/>
    </xf>
    <xf numFmtId="3" fontId="3" fillId="0" borderId="2" xfId="0" applyNumberFormat="1" applyFont="1" applyBorder="1" applyAlignment="1">
      <alignment horizontal="center" vertical="center"/>
    </xf>
    <xf numFmtId="3" fontId="27" fillId="17" borderId="2" xfId="0" applyNumberFormat="1" applyFont="1" applyFill="1" applyBorder="1" applyAlignment="1">
      <alignment horizontal="center" vertical="center"/>
    </xf>
    <xf numFmtId="3" fontId="4" fillId="0" borderId="2" xfId="1" applyNumberFormat="1" applyFont="1" applyFill="1" applyBorder="1" applyAlignment="1">
      <alignment horizontal="center" vertical="center" wrapText="1"/>
    </xf>
    <xf numFmtId="0" fontId="4" fillId="5" borderId="2" xfId="0" applyFont="1" applyFill="1" applyBorder="1" applyAlignment="1">
      <alignment vertical="center" wrapText="1"/>
    </xf>
    <xf numFmtId="0" fontId="3" fillId="11" borderId="2" xfId="0" applyFont="1" applyFill="1" applyBorder="1" applyAlignment="1">
      <alignment vertical="center" wrapText="1"/>
    </xf>
    <xf numFmtId="0" fontId="4" fillId="0" borderId="2" xfId="0" applyFont="1" applyFill="1" applyBorder="1" applyAlignment="1">
      <alignment vertical="center" wrapText="1"/>
    </xf>
    <xf numFmtId="3" fontId="4" fillId="2" borderId="2" xfId="1" applyNumberFormat="1" applyFont="1" applyFill="1" applyBorder="1" applyAlignment="1">
      <alignment horizontal="center" vertical="center" wrapText="1"/>
    </xf>
    <xf numFmtId="0" fontId="4" fillId="5" borderId="2" xfId="0" applyFont="1" applyFill="1" applyBorder="1" applyAlignment="1">
      <alignment horizontal="left" vertical="center" wrapText="1"/>
    </xf>
    <xf numFmtId="167" fontId="4" fillId="12" borderId="2" xfId="1" applyNumberFormat="1" applyFont="1" applyFill="1" applyBorder="1" applyAlignment="1">
      <alignment horizontal="center" vertical="center" wrapText="1"/>
    </xf>
    <xf numFmtId="166" fontId="4" fillId="2" borderId="2" xfId="1" applyFont="1" applyFill="1" applyBorder="1" applyAlignment="1">
      <alignment horizontal="center" vertical="center" wrapText="1"/>
    </xf>
    <xf numFmtId="167" fontId="3" fillId="4" borderId="2" xfId="1" applyNumberFormat="1" applyFont="1" applyFill="1" applyBorder="1" applyAlignment="1">
      <alignment horizontal="center" wrapText="1"/>
    </xf>
    <xf numFmtId="167" fontId="3" fillId="16" borderId="2" xfId="1" applyNumberFormat="1" applyFont="1" applyFill="1" applyBorder="1" applyAlignment="1">
      <alignment horizontal="center" vertical="center" wrapText="1"/>
    </xf>
    <xf numFmtId="17" fontId="4" fillId="2" borderId="2"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3" fontId="3" fillId="9" borderId="2" xfId="1" applyNumberFormat="1" applyFont="1" applyFill="1" applyBorder="1" applyAlignment="1">
      <alignment horizontal="center" vertical="center" wrapText="1"/>
    </xf>
    <xf numFmtId="0" fontId="3" fillId="0" borderId="2" xfId="0" applyFont="1" applyFill="1" applyBorder="1"/>
    <xf numFmtId="3" fontId="3" fillId="0" borderId="0" xfId="0" applyNumberFormat="1" applyFont="1"/>
    <xf numFmtId="167" fontId="4" fillId="12" borderId="2" xfId="1" applyNumberFormat="1" applyFont="1" applyFill="1" applyBorder="1" applyAlignment="1">
      <alignment horizontal="center" vertical="center" wrapText="1"/>
    </xf>
    <xf numFmtId="0" fontId="3" fillId="18" borderId="31" xfId="0" applyFont="1" applyFill="1" applyBorder="1" applyAlignment="1">
      <alignment horizontal="left" vertical="center" wrapText="1"/>
    </xf>
    <xf numFmtId="0" fontId="3" fillId="18" borderId="2" xfId="4" applyFont="1" applyFill="1" applyBorder="1" applyAlignment="1">
      <alignment vertical="center" wrapText="1"/>
    </xf>
    <xf numFmtId="3" fontId="3" fillId="18" borderId="2" xfId="1" applyNumberFormat="1" applyFont="1" applyFill="1" applyBorder="1" applyAlignment="1">
      <alignment horizontal="center" vertical="center" wrapText="1"/>
    </xf>
    <xf numFmtId="167" fontId="3" fillId="0" borderId="2" xfId="1" applyNumberFormat="1" applyFont="1" applyFill="1" applyBorder="1" applyAlignment="1">
      <alignment horizontal="center" vertical="center" wrapText="1"/>
    </xf>
    <xf numFmtId="0" fontId="3" fillId="0" borderId="2" xfId="0" applyFont="1" applyFill="1" applyBorder="1" applyAlignment="1">
      <alignment vertical="center" wrapText="1"/>
    </xf>
    <xf numFmtId="0" fontId="3" fillId="19" borderId="31" xfId="0" applyFont="1" applyFill="1" applyBorder="1" applyAlignment="1">
      <alignment horizontal="left" vertical="center" wrapText="1"/>
    </xf>
    <xf numFmtId="3" fontId="3" fillId="19" borderId="2" xfId="1" applyNumberFormat="1" applyFont="1" applyFill="1" applyBorder="1" applyAlignment="1">
      <alignment horizontal="center" vertical="center" wrapText="1"/>
    </xf>
    <xf numFmtId="0" fontId="28" fillId="0" borderId="31" xfId="0" applyFont="1" applyBorder="1" applyAlignment="1">
      <alignment horizontal="left" vertical="center" wrapText="1"/>
    </xf>
    <xf numFmtId="0" fontId="28" fillId="2" borderId="2" xfId="0" applyFont="1" applyFill="1" applyBorder="1" applyAlignment="1">
      <alignment vertical="center" wrapText="1"/>
    </xf>
    <xf numFmtId="3" fontId="28" fillId="0" borderId="2" xfId="1" applyNumberFormat="1" applyFont="1" applyBorder="1" applyAlignment="1">
      <alignment horizontal="center" vertical="center" wrapText="1"/>
    </xf>
    <xf numFmtId="3" fontId="28" fillId="12" borderId="2" xfId="1" applyNumberFormat="1" applyFont="1" applyFill="1" applyBorder="1" applyAlignment="1">
      <alignment horizontal="center" vertical="center" wrapText="1"/>
    </xf>
    <xf numFmtId="3" fontId="28" fillId="0" borderId="2" xfId="1" applyNumberFormat="1" applyFont="1" applyFill="1" applyBorder="1" applyAlignment="1">
      <alignment horizontal="center" vertical="center" wrapText="1"/>
    </xf>
    <xf numFmtId="3" fontId="28" fillId="0" borderId="2" xfId="0" applyNumberFormat="1" applyFont="1" applyBorder="1" applyAlignment="1">
      <alignment horizontal="center" vertical="center"/>
    </xf>
    <xf numFmtId="0" fontId="28" fillId="0" borderId="0" xfId="0" applyFont="1"/>
    <xf numFmtId="3" fontId="28" fillId="0" borderId="2" xfId="0" applyNumberFormat="1" applyFont="1" applyFill="1" applyBorder="1" applyAlignment="1">
      <alignment horizontal="center" vertical="center"/>
    </xf>
    <xf numFmtId="0" fontId="28" fillId="0" borderId="31" xfId="0" applyFont="1" applyFill="1" applyBorder="1" applyAlignment="1">
      <alignment horizontal="left" vertical="center" wrapText="1"/>
    </xf>
    <xf numFmtId="0" fontId="28" fillId="0" borderId="0" xfId="0" applyFont="1" applyFill="1"/>
    <xf numFmtId="0" fontId="28" fillId="0" borderId="2" xfId="0" applyFont="1" applyFill="1" applyBorder="1"/>
    <xf numFmtId="0" fontId="28" fillId="0" borderId="2" xfId="0" applyFont="1" applyFill="1" applyBorder="1" applyAlignment="1">
      <alignment vertical="center" wrapText="1"/>
    </xf>
    <xf numFmtId="3" fontId="27" fillId="19" borderId="2" xfId="0" applyNumberFormat="1" applyFont="1" applyFill="1" applyBorder="1" applyAlignment="1">
      <alignment horizontal="center" vertical="center"/>
    </xf>
    <xf numFmtId="3" fontId="27" fillId="18" borderId="2" xfId="0" applyNumberFormat="1" applyFont="1" applyFill="1" applyBorder="1" applyAlignment="1">
      <alignment horizontal="center" vertical="center"/>
    </xf>
    <xf numFmtId="3" fontId="3" fillId="0" borderId="2" xfId="1" applyNumberFormat="1" applyFont="1" applyFill="1" applyBorder="1" applyAlignment="1">
      <alignment horizontal="left" vertical="center"/>
    </xf>
    <xf numFmtId="3" fontId="3" fillId="20" borderId="2" xfId="1" applyNumberFormat="1" applyFont="1" applyFill="1" applyBorder="1" applyAlignment="1">
      <alignment horizontal="center" vertical="center" wrapText="1"/>
    </xf>
    <xf numFmtId="3" fontId="3" fillId="19" borderId="2" xfId="1" applyNumberFormat="1" applyFont="1" applyFill="1" applyBorder="1" applyAlignment="1">
      <alignment horizontal="left" vertical="center"/>
    </xf>
    <xf numFmtId="3" fontId="0" fillId="19" borderId="2" xfId="1" applyNumberFormat="1" applyFont="1" applyFill="1" applyBorder="1" applyAlignment="1">
      <alignment horizontal="center" vertical="center"/>
    </xf>
    <xf numFmtId="0" fontId="3" fillId="0" borderId="12" xfId="0" applyFont="1" applyBorder="1" applyAlignment="1">
      <alignment horizontal="left" vertical="center" wrapText="1"/>
    </xf>
    <xf numFmtId="0" fontId="3" fillId="11" borderId="2" xfId="0" applyFont="1" applyFill="1" applyBorder="1" applyAlignment="1">
      <alignment horizontal="left" vertical="center" wrapText="1"/>
    </xf>
    <xf numFmtId="0" fontId="4" fillId="5" borderId="8" xfId="0" applyFont="1" applyFill="1" applyBorder="1" applyAlignment="1">
      <alignment horizontal="left" vertical="center" wrapText="1"/>
    </xf>
    <xf numFmtId="0" fontId="3" fillId="0" borderId="2" xfId="0" applyFont="1" applyBorder="1"/>
    <xf numFmtId="0" fontId="3" fillId="12" borderId="31" xfId="0" applyFont="1" applyFill="1" applyBorder="1" applyAlignment="1">
      <alignment horizontal="left" vertical="center" wrapText="1"/>
    </xf>
    <xf numFmtId="0" fontId="3" fillId="12" borderId="2" xfId="4" applyFont="1" applyFill="1" applyBorder="1" applyAlignment="1">
      <alignment vertical="center" wrapText="1"/>
    </xf>
    <xf numFmtId="0" fontId="4" fillId="2" borderId="0" xfId="0" applyFont="1" applyFill="1" applyBorder="1" applyAlignment="1">
      <alignment horizontal="left" vertical="center" wrapText="1"/>
    </xf>
    <xf numFmtId="167" fontId="4" fillId="12" borderId="2" xfId="1" applyNumberFormat="1" applyFont="1" applyFill="1" applyBorder="1" applyAlignment="1">
      <alignment horizontal="center" vertical="center" wrapText="1"/>
    </xf>
    <xf numFmtId="0" fontId="4" fillId="2" borderId="0" xfId="0" applyFont="1" applyFill="1" applyBorder="1" applyAlignment="1">
      <alignment vertical="center" wrapText="1"/>
    </xf>
    <xf numFmtId="0" fontId="4" fillId="11" borderId="2" xfId="4" applyFont="1" applyFill="1" applyBorder="1" applyAlignment="1">
      <alignment vertical="center" wrapText="1"/>
    </xf>
    <xf numFmtId="0" fontId="3" fillId="12" borderId="0" xfId="0" applyFont="1" applyFill="1"/>
    <xf numFmtId="3" fontId="27" fillId="12" borderId="2" xfId="0" applyNumberFormat="1" applyFont="1" applyFill="1" applyBorder="1" applyAlignment="1">
      <alignment horizontal="center" vertical="center"/>
    </xf>
    <xf numFmtId="0" fontId="3" fillId="12" borderId="0" xfId="0" applyFont="1" applyFill="1" applyBorder="1" applyAlignment="1">
      <alignment horizontal="left" vertical="center" wrapText="1"/>
    </xf>
    <xf numFmtId="0" fontId="4" fillId="12" borderId="23" xfId="0" applyFont="1" applyFill="1" applyBorder="1" applyAlignment="1">
      <alignment vertical="center" wrapText="1"/>
    </xf>
    <xf numFmtId="3" fontId="4" fillId="12" borderId="0" xfId="1" applyNumberFormat="1" applyFont="1" applyFill="1" applyBorder="1" applyAlignment="1">
      <alignment horizontal="center" vertical="center" wrapText="1"/>
    </xf>
    <xf numFmtId="0" fontId="31" fillId="6" borderId="23" xfId="0" applyFont="1" applyFill="1" applyBorder="1" applyAlignment="1">
      <alignment vertical="center" wrapText="1"/>
    </xf>
    <xf numFmtId="0" fontId="31" fillId="3" borderId="23" xfId="0" applyFont="1" applyFill="1" applyBorder="1" applyAlignment="1">
      <alignment vertical="center" wrapText="1"/>
    </xf>
    <xf numFmtId="0" fontId="31" fillId="7" borderId="2" xfId="0" applyFont="1" applyFill="1" applyBorder="1" applyAlignment="1">
      <alignment vertical="center" wrapText="1"/>
    </xf>
    <xf numFmtId="166" fontId="4" fillId="2" borderId="24" xfId="1" applyFont="1" applyFill="1" applyBorder="1" applyAlignment="1">
      <alignment horizontal="center" vertical="center" wrapText="1"/>
    </xf>
    <xf numFmtId="0" fontId="31" fillId="7" borderId="18" xfId="0" applyFont="1" applyFill="1" applyBorder="1" applyAlignment="1">
      <alignment vertical="center" wrapText="1"/>
    </xf>
    <xf numFmtId="0" fontId="3" fillId="0" borderId="0" xfId="0" applyFont="1" applyFill="1" applyBorder="1"/>
    <xf numFmtId="167" fontId="3" fillId="0" borderId="0" xfId="0" applyNumberFormat="1" applyFont="1" applyBorder="1"/>
    <xf numFmtId="166" fontId="4" fillId="2" borderId="23" xfId="1" applyFont="1" applyFill="1" applyBorder="1" applyAlignment="1">
      <alignment horizontal="center" vertical="center" wrapText="1"/>
    </xf>
    <xf numFmtId="3" fontId="3" fillId="12" borderId="23" xfId="1" applyNumberFormat="1" applyFont="1" applyFill="1" applyBorder="1" applyAlignment="1">
      <alignment horizontal="center" vertical="center" wrapText="1"/>
    </xf>
    <xf numFmtId="0" fontId="3" fillId="12" borderId="35" xfId="4" applyFont="1" applyFill="1" applyBorder="1" applyAlignment="1">
      <alignment horizontal="left" vertical="center" wrapText="1"/>
    </xf>
    <xf numFmtId="0" fontId="3" fillId="12" borderId="23" xfId="4" applyFont="1" applyFill="1" applyBorder="1" applyAlignment="1">
      <alignment horizontal="left" vertical="center" wrapText="1"/>
    </xf>
    <xf numFmtId="3" fontId="3" fillId="12" borderId="23" xfId="1" applyNumberFormat="1" applyFont="1" applyFill="1" applyBorder="1" applyAlignment="1">
      <alignment horizontal="center" vertical="center" wrapText="1"/>
    </xf>
    <xf numFmtId="0" fontId="3" fillId="12" borderId="35" xfId="4" applyFont="1" applyFill="1" applyBorder="1" applyAlignment="1">
      <alignment horizontal="left" vertical="center" wrapText="1"/>
    </xf>
    <xf numFmtId="0" fontId="3" fillId="12" borderId="23" xfId="4" applyFont="1" applyFill="1" applyBorder="1" applyAlignment="1">
      <alignment horizontal="left" vertical="center" wrapText="1"/>
    </xf>
    <xf numFmtId="0" fontId="3" fillId="12" borderId="46" xfId="0" applyFont="1" applyFill="1" applyBorder="1" applyAlignment="1">
      <alignment horizontal="left" vertical="center" wrapText="1"/>
    </xf>
    <xf numFmtId="0" fontId="3" fillId="21" borderId="12" xfId="0" applyFont="1" applyFill="1" applyBorder="1" applyAlignment="1">
      <alignment horizontal="left" vertical="center" wrapText="1"/>
    </xf>
    <xf numFmtId="0" fontId="4" fillId="21" borderId="2" xfId="0" applyFont="1" applyFill="1" applyBorder="1" applyAlignment="1">
      <alignment vertical="center" wrapText="1"/>
    </xf>
    <xf numFmtId="3" fontId="4" fillId="21" borderId="2" xfId="1" applyNumberFormat="1" applyFont="1" applyFill="1" applyBorder="1" applyAlignment="1">
      <alignment horizontal="center" vertical="center" wrapText="1"/>
    </xf>
    <xf numFmtId="0" fontId="3" fillId="0" borderId="46" xfId="0" applyFont="1" applyFill="1" applyBorder="1" applyAlignment="1">
      <alignment horizontal="left" vertical="center" wrapText="1"/>
    </xf>
    <xf numFmtId="0" fontId="4" fillId="0" borderId="23" xfId="4" applyFont="1" applyFill="1" applyBorder="1" applyAlignment="1">
      <alignment vertical="center" wrapText="1"/>
    </xf>
    <xf numFmtId="3" fontId="3" fillId="0" borderId="23" xfId="1" applyNumberFormat="1" applyFont="1" applyFill="1" applyBorder="1" applyAlignment="1">
      <alignment horizontal="center" vertical="center" wrapText="1"/>
    </xf>
    <xf numFmtId="0" fontId="3" fillId="12" borderId="23" xfId="4" applyFont="1" applyFill="1" applyBorder="1" applyAlignment="1">
      <alignment horizontal="left" vertical="center" wrapText="1"/>
    </xf>
    <xf numFmtId="0" fontId="3" fillId="12" borderId="30" xfId="0" applyFont="1" applyFill="1" applyBorder="1" applyAlignment="1">
      <alignment vertical="center" wrapText="1"/>
    </xf>
    <xf numFmtId="0" fontId="3" fillId="12" borderId="46" xfId="0" applyFont="1" applyFill="1" applyBorder="1" applyAlignment="1">
      <alignment vertical="center" wrapText="1"/>
    </xf>
    <xf numFmtId="0" fontId="3" fillId="21" borderId="7" xfId="0" applyFont="1" applyFill="1" applyBorder="1" applyAlignment="1">
      <alignment vertical="center" wrapText="1"/>
    </xf>
    <xf numFmtId="0" fontId="3" fillId="21" borderId="1" xfId="0" applyFont="1" applyFill="1" applyBorder="1" applyAlignment="1">
      <alignment vertical="center" wrapText="1"/>
    </xf>
    <xf numFmtId="3" fontId="0" fillId="0" borderId="0" xfId="0" applyNumberFormat="1"/>
    <xf numFmtId="14" fontId="0" fillId="0" borderId="2" xfId="0" applyNumberFormat="1" applyBorder="1"/>
    <xf numFmtId="14" fontId="4" fillId="2" borderId="2" xfId="0" applyNumberFormat="1" applyFont="1" applyFill="1" applyBorder="1" applyAlignment="1">
      <alignment horizontal="center" vertical="center" wrapText="1"/>
    </xf>
    <xf numFmtId="14" fontId="0" fillId="0" borderId="0" xfId="0" applyNumberFormat="1"/>
    <xf numFmtId="0" fontId="3" fillId="0" borderId="0" xfId="0" applyFont="1" applyAlignment="1">
      <alignment vertical="center"/>
    </xf>
    <xf numFmtId="4" fontId="3" fillId="0" borderId="0" xfId="0" applyNumberFormat="1" applyFont="1" applyAlignment="1">
      <alignment vertical="center"/>
    </xf>
    <xf numFmtId="0" fontId="3" fillId="0" borderId="0" xfId="0" applyFont="1" applyFill="1" applyAlignment="1">
      <alignment vertical="center"/>
    </xf>
    <xf numFmtId="0" fontId="3" fillId="29" borderId="0" xfId="0" applyFont="1" applyFill="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165" fontId="36" fillId="0" borderId="0" xfId="0" applyNumberFormat="1" applyFont="1" applyFill="1" applyBorder="1" applyAlignment="1">
      <alignment horizontal="right" vertical="center"/>
    </xf>
    <xf numFmtId="0" fontId="32" fillId="0" borderId="0" xfId="0" applyFont="1" applyFill="1" applyAlignment="1">
      <alignment vertical="center"/>
    </xf>
    <xf numFmtId="0" fontId="4" fillId="0" borderId="0" xfId="0" applyFont="1" applyBorder="1" applyAlignment="1">
      <alignment horizontal="center" vertical="center"/>
    </xf>
    <xf numFmtId="4" fontId="4" fillId="12" borderId="0" xfId="0" applyNumberFormat="1" applyFont="1" applyFill="1" applyBorder="1" applyAlignment="1">
      <alignment vertical="center"/>
    </xf>
    <xf numFmtId="166" fontId="4" fillId="12" borderId="0" xfId="1" applyFont="1" applyFill="1" applyBorder="1" applyAlignment="1">
      <alignment vertical="center"/>
    </xf>
    <xf numFmtId="4" fontId="4" fillId="0" borderId="0" xfId="0" applyNumberFormat="1" applyFont="1" applyFill="1" applyBorder="1" applyAlignment="1">
      <alignment vertical="center"/>
    </xf>
    <xf numFmtId="166" fontId="4" fillId="0" borderId="0" xfId="0" applyNumberFormat="1" applyFont="1" applyFill="1" applyBorder="1" applyAlignment="1">
      <alignment vertical="center"/>
    </xf>
    <xf numFmtId="0" fontId="34" fillId="0" borderId="0" xfId="0" applyFont="1" applyFill="1" applyAlignment="1">
      <alignment vertical="center"/>
    </xf>
    <xf numFmtId="4" fontId="4" fillId="0" borderId="0" xfId="0" applyNumberFormat="1" applyFont="1" applyAlignment="1">
      <alignment vertical="center"/>
    </xf>
    <xf numFmtId="166" fontId="3" fillId="0" borderId="0" xfId="1" applyFont="1" applyBorder="1" applyAlignment="1">
      <alignment vertical="center"/>
    </xf>
    <xf numFmtId="166" fontId="4" fillId="0" borderId="0" xfId="1" applyFont="1" applyBorder="1" applyAlignment="1">
      <alignment horizontal="center" vertical="center"/>
    </xf>
    <xf numFmtId="0" fontId="3" fillId="0" borderId="0" xfId="0" applyFont="1" applyAlignment="1">
      <alignment horizontal="left" vertical="center"/>
    </xf>
    <xf numFmtId="0" fontId="34" fillId="0" borderId="0" xfId="0" applyFont="1" applyFill="1" applyAlignment="1">
      <alignment horizontal="left" vertical="center"/>
    </xf>
    <xf numFmtId="0" fontId="32" fillId="0" borderId="0" xfId="0" applyFont="1" applyFill="1" applyAlignment="1">
      <alignment horizontal="left" vertical="center"/>
    </xf>
    <xf numFmtId="49" fontId="3" fillId="0" borderId="0" xfId="0" applyNumberFormat="1" applyFont="1"/>
    <xf numFmtId="49" fontId="6" fillId="2" borderId="0"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49" fontId="3" fillId="2" borderId="0" xfId="1" applyNumberFormat="1" applyFont="1" applyFill="1" applyBorder="1" applyAlignment="1">
      <alignment horizontal="left" vertical="center" wrapText="1"/>
    </xf>
    <xf numFmtId="49" fontId="3" fillId="2" borderId="0" xfId="0" applyNumberFormat="1" applyFont="1" applyFill="1" applyBorder="1" applyAlignment="1">
      <alignment horizontal="left" vertical="center" wrapText="1"/>
    </xf>
    <xf numFmtId="49" fontId="3" fillId="0" borderId="0" xfId="0" applyNumberFormat="1" applyFont="1" applyAlignment="1">
      <alignment vertical="center"/>
    </xf>
    <xf numFmtId="49"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vertical="center"/>
    </xf>
    <xf numFmtId="49" fontId="36" fillId="0" borderId="0" xfId="1" applyNumberFormat="1" applyFont="1" applyFill="1" applyBorder="1" applyAlignment="1">
      <alignment vertical="center"/>
    </xf>
    <xf numFmtId="49" fontId="35" fillId="0" borderId="0" xfId="0" applyNumberFormat="1" applyFont="1" applyAlignment="1">
      <alignment vertical="center"/>
    </xf>
    <xf numFmtId="49" fontId="3" fillId="0" borderId="0" xfId="0" applyNumberFormat="1" applyFont="1" applyFill="1" applyAlignment="1">
      <alignment vertical="center"/>
    </xf>
    <xf numFmtId="4" fontId="39" fillId="0" borderId="0" xfId="0" applyNumberFormat="1" applyFont="1" applyAlignment="1">
      <alignment vertical="center"/>
    </xf>
    <xf numFmtId="0" fontId="37" fillId="0" borderId="2" xfId="8" applyFont="1" applyFill="1" applyBorder="1" applyAlignment="1">
      <alignment horizontal="left" vertical="center" wrapText="1"/>
    </xf>
    <xf numFmtId="4" fontId="4" fillId="0" borderId="2" xfId="1" applyNumberFormat="1" applyFont="1" applyFill="1" applyBorder="1" applyAlignment="1">
      <alignment horizontal="center" vertical="center" wrapText="1"/>
    </xf>
    <xf numFmtId="49" fontId="3" fillId="0" borderId="2" xfId="1"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37" fillId="0" borderId="2" xfId="15" applyFont="1" applyFill="1" applyBorder="1" applyAlignment="1">
      <alignment horizontal="left" vertical="center" wrapText="1"/>
    </xf>
    <xf numFmtId="0" fontId="40" fillId="12" borderId="0" xfId="0" applyFont="1" applyFill="1" applyAlignment="1">
      <alignment horizontal="center" wrapText="1"/>
    </xf>
    <xf numFmtId="49" fontId="40" fillId="12" borderId="23" xfId="0" applyNumberFormat="1" applyFont="1" applyFill="1" applyBorder="1" applyAlignment="1">
      <alignment horizontal="center" vertical="center" wrapText="1"/>
    </xf>
    <xf numFmtId="3" fontId="40" fillId="12" borderId="2" xfId="1" applyNumberFormat="1" applyFont="1" applyFill="1" applyBorder="1" applyAlignment="1">
      <alignment horizontal="center" vertical="center" wrapText="1"/>
    </xf>
    <xf numFmtId="17" fontId="40" fillId="12" borderId="2" xfId="0" applyNumberFormat="1" applyFont="1" applyFill="1" applyBorder="1" applyAlignment="1">
      <alignment horizontal="center" vertical="center" wrapText="1"/>
    </xf>
    <xf numFmtId="0" fontId="40" fillId="33" borderId="2" xfId="4" applyFont="1" applyFill="1" applyBorder="1" applyAlignment="1">
      <alignment horizontal="center" vertical="center" wrapText="1"/>
    </xf>
    <xf numFmtId="4" fontId="40" fillId="33" borderId="23" xfId="4" applyNumberFormat="1" applyFont="1" applyFill="1" applyBorder="1" applyAlignment="1">
      <alignment horizontal="center" vertical="center" wrapText="1"/>
    </xf>
    <xf numFmtId="49" fontId="40" fillId="33" borderId="23" xfId="0" applyNumberFormat="1" applyFont="1" applyFill="1" applyBorder="1" applyAlignment="1">
      <alignment horizontal="center" vertical="center" wrapText="1"/>
    </xf>
    <xf numFmtId="3" fontId="40" fillId="33" borderId="23" xfId="1" applyNumberFormat="1" applyFont="1" applyFill="1" applyBorder="1" applyAlignment="1">
      <alignment horizontal="center" vertical="center" wrapText="1"/>
    </xf>
    <xf numFmtId="3" fontId="40" fillId="33" borderId="2" xfId="1" applyNumberFormat="1" applyFont="1" applyFill="1" applyBorder="1" applyAlignment="1">
      <alignment horizontal="center" vertical="center" wrapText="1"/>
    </xf>
    <xf numFmtId="17" fontId="40" fillId="33" borderId="2" xfId="0" applyNumberFormat="1" applyFont="1" applyFill="1" applyBorder="1" applyAlignment="1">
      <alignment horizontal="center" vertical="center" wrapText="1"/>
    </xf>
    <xf numFmtId="4" fontId="40" fillId="33" borderId="2" xfId="4"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4" fontId="40" fillId="12" borderId="23" xfId="4" applyNumberFormat="1" applyFont="1" applyFill="1" applyBorder="1" applyAlignment="1">
      <alignment horizontal="center" vertical="center" wrapText="1"/>
    </xf>
    <xf numFmtId="4" fontId="40" fillId="12" borderId="23" xfId="4" applyNumberFormat="1"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vertical="center" wrapText="1"/>
    </xf>
    <xf numFmtId="0" fontId="37" fillId="12" borderId="2" xfId="15" applyFont="1" applyFill="1" applyBorder="1" applyAlignment="1">
      <alignment horizontal="left" vertical="center" wrapText="1"/>
    </xf>
    <xf numFmtId="0" fontId="37" fillId="12" borderId="2" xfId="8" applyFont="1" applyFill="1" applyBorder="1" applyAlignment="1">
      <alignment horizontal="left" vertical="center" wrapText="1"/>
    </xf>
    <xf numFmtId="0" fontId="41" fillId="0" borderId="2" xfId="8" applyFont="1" applyFill="1" applyBorder="1" applyAlignment="1">
      <alignment horizontal="left" vertical="center" wrapText="1"/>
    </xf>
    <xf numFmtId="0" fontId="3" fillId="12" borderId="2" xfId="0" applyFont="1" applyFill="1" applyBorder="1" applyAlignment="1">
      <alignment horizontal="center" vertical="center"/>
    </xf>
    <xf numFmtId="4" fontId="4" fillId="12" borderId="2" xfId="1" applyNumberFormat="1" applyFont="1" applyFill="1" applyBorder="1" applyAlignment="1">
      <alignment horizontal="center" vertical="center" wrapText="1"/>
    </xf>
    <xf numFmtId="49" fontId="42" fillId="12" borderId="2" xfId="0" applyNumberFormat="1" applyFont="1" applyFill="1" applyBorder="1" applyAlignment="1">
      <alignment vertical="center" wrapText="1"/>
    </xf>
    <xf numFmtId="49" fontId="41" fillId="12" borderId="2" xfId="0" applyNumberFormat="1" applyFont="1" applyFill="1" applyBorder="1" applyAlignment="1">
      <alignment horizontal="center" vertical="center" wrapText="1"/>
    </xf>
    <xf numFmtId="4" fontId="40" fillId="34" borderId="35" xfId="4" applyNumberFormat="1" applyFont="1" applyFill="1" applyBorder="1" applyAlignment="1">
      <alignment horizontal="center" vertical="center" wrapText="1"/>
    </xf>
    <xf numFmtId="4" fontId="40" fillId="34" borderId="19" xfId="4" applyNumberFormat="1" applyFont="1" applyFill="1" applyBorder="1" applyAlignment="1">
      <alignment horizontal="center" vertical="center" wrapText="1"/>
    </xf>
    <xf numFmtId="4" fontId="40" fillId="34" borderId="23" xfId="4" applyNumberFormat="1" applyFont="1" applyFill="1" applyBorder="1" applyAlignment="1">
      <alignment horizontal="center" vertical="center" wrapText="1"/>
    </xf>
    <xf numFmtId="49" fontId="40" fillId="34" borderId="23" xfId="0" applyNumberFormat="1" applyFont="1" applyFill="1" applyBorder="1" applyAlignment="1">
      <alignment horizontal="center" vertical="center" wrapText="1"/>
    </xf>
    <xf numFmtId="3" fontId="40" fillId="34" borderId="2" xfId="1" applyNumberFormat="1" applyFont="1" applyFill="1" applyBorder="1" applyAlignment="1">
      <alignment horizontal="center" vertical="center" wrapText="1"/>
    </xf>
    <xf numFmtId="4" fontId="40" fillId="34" borderId="2" xfId="4" applyNumberFormat="1" applyFont="1" applyFill="1" applyBorder="1" applyAlignment="1">
      <alignment horizontal="center" vertical="center" wrapText="1"/>
    </xf>
    <xf numFmtId="0" fontId="6" fillId="0" borderId="0" xfId="0" applyFont="1" applyBorder="1" applyAlignment="1"/>
    <xf numFmtId="0" fontId="6" fillId="2" borderId="0" xfId="0" applyFont="1" applyFill="1" applyBorder="1" applyAlignment="1">
      <alignment vertical="center"/>
    </xf>
    <xf numFmtId="0" fontId="6" fillId="33" borderId="24" xfId="4" applyFont="1" applyFill="1" applyBorder="1" applyAlignment="1">
      <alignment horizontal="center" vertical="center" wrapText="1"/>
    </xf>
    <xf numFmtId="4" fontId="40" fillId="12" borderId="35" xfId="4" applyNumberFormat="1" applyFont="1" applyFill="1" applyBorder="1" applyAlignment="1">
      <alignment horizontal="center" vertical="center" wrapText="1"/>
    </xf>
    <xf numFmtId="0" fontId="40" fillId="12" borderId="35" xfId="4" applyFont="1" applyFill="1" applyBorder="1" applyAlignment="1">
      <alignment horizontal="left" vertical="center" wrapText="1"/>
    </xf>
    <xf numFmtId="4" fontId="37" fillId="12" borderId="2" xfId="15" applyNumberFormat="1" applyFont="1" applyFill="1" applyBorder="1" applyAlignment="1">
      <alignment horizontal="center" vertical="center" wrapText="1"/>
    </xf>
    <xf numFmtId="4" fontId="37" fillId="12" borderId="2" xfId="8" applyNumberFormat="1" applyFont="1" applyFill="1" applyBorder="1" applyAlignment="1">
      <alignment horizontal="center" vertical="center" wrapText="1"/>
    </xf>
    <xf numFmtId="4" fontId="41" fillId="12" borderId="2" xfId="8" applyNumberFormat="1" applyFont="1" applyFill="1" applyBorder="1" applyAlignment="1">
      <alignment horizontal="center" vertical="center" wrapText="1"/>
    </xf>
    <xf numFmtId="4" fontId="43" fillId="12" borderId="35" xfId="4"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0" fontId="42" fillId="0" borderId="0" xfId="0" applyFont="1" applyBorder="1" applyAlignment="1"/>
    <xf numFmtId="3" fontId="41" fillId="34" borderId="23" xfId="1" applyNumberFormat="1" applyFont="1" applyFill="1" applyBorder="1" applyAlignment="1">
      <alignment horizontal="center" vertical="center" wrapText="1"/>
    </xf>
    <xf numFmtId="3" fontId="41" fillId="12" borderId="23" xfId="1" applyNumberFormat="1" applyFont="1" applyFill="1" applyBorder="1" applyAlignment="1">
      <alignment horizontal="center" vertical="center" wrapText="1"/>
    </xf>
    <xf numFmtId="4" fontId="40" fillId="12" borderId="2" xfId="1" applyNumberFormat="1" applyFont="1" applyFill="1" applyBorder="1" applyAlignment="1">
      <alignment horizontal="center" vertical="center" wrapText="1"/>
    </xf>
    <xf numFmtId="3" fontId="43" fillId="12" borderId="2" xfId="1" applyNumberFormat="1" applyFont="1" applyFill="1" applyBorder="1" applyAlignment="1">
      <alignment horizontal="center" vertical="center" wrapText="1"/>
    </xf>
    <xf numFmtId="4" fontId="43" fillId="12" borderId="2" xfId="1" applyNumberFormat="1" applyFont="1" applyFill="1" applyBorder="1" applyAlignment="1">
      <alignment horizontal="center" vertical="center" wrapText="1"/>
    </xf>
    <xf numFmtId="49" fontId="42" fillId="12" borderId="2" xfId="0" applyNumberFormat="1" applyFont="1" applyFill="1" applyBorder="1" applyAlignment="1">
      <alignment horizontal="center" vertical="center" wrapText="1"/>
    </xf>
    <xf numFmtId="49" fontId="3" fillId="0" borderId="2" xfId="0" applyNumberFormat="1" applyFont="1" applyBorder="1" applyAlignment="1">
      <alignment horizontal="center" vertical="center"/>
    </xf>
    <xf numFmtId="0" fontId="40" fillId="12" borderId="35" xfId="4" applyFont="1" applyFill="1" applyBorder="1" applyAlignment="1">
      <alignment horizontal="left" vertical="center" wrapText="1"/>
    </xf>
    <xf numFmtId="4" fontId="40" fillId="12" borderId="35" xfId="4" applyNumberFormat="1" applyFont="1" applyFill="1" applyBorder="1" applyAlignment="1">
      <alignment horizontal="center" vertical="center" wrapText="1"/>
    </xf>
    <xf numFmtId="4" fontId="40" fillId="12" borderId="23" xfId="4" applyNumberFormat="1" applyFont="1" applyFill="1" applyBorder="1" applyAlignment="1">
      <alignment horizontal="center" vertical="center" wrapText="1"/>
    </xf>
    <xf numFmtId="4" fontId="40" fillId="12" borderId="23" xfId="4" applyNumberFormat="1" applyFont="1" applyFill="1" applyBorder="1" applyAlignment="1">
      <alignment horizontal="center" vertical="center" wrapText="1"/>
    </xf>
    <xf numFmtId="0" fontId="40" fillId="12" borderId="2" xfId="0" applyFont="1" applyFill="1" applyBorder="1" applyAlignment="1">
      <alignment horizontal="center" vertical="center" wrapText="1"/>
    </xf>
    <xf numFmtId="0" fontId="40" fillId="12" borderId="0" xfId="0" applyFont="1" applyFill="1" applyAlignment="1">
      <alignment horizontal="center" vertical="center" wrapText="1"/>
    </xf>
    <xf numFmtId="0" fontId="43" fillId="12" borderId="35" xfId="4" applyFont="1" applyFill="1" applyBorder="1" applyAlignment="1">
      <alignment horizontal="left" vertical="center" wrapText="1"/>
    </xf>
    <xf numFmtId="4" fontId="43" fillId="12" borderId="23" xfId="4" applyNumberFormat="1" applyFont="1" applyFill="1" applyBorder="1" applyAlignment="1">
      <alignment horizontal="center" vertical="center" wrapText="1"/>
    </xf>
    <xf numFmtId="49" fontId="45" fillId="12" borderId="2" xfId="0" applyNumberFormat="1" applyFont="1" applyFill="1" applyBorder="1" applyAlignment="1">
      <alignment horizontal="center" vertical="center" wrapText="1"/>
    </xf>
    <xf numFmtId="17" fontId="43" fillId="12" borderId="2" xfId="0" applyNumberFormat="1" applyFont="1" applyFill="1" applyBorder="1" applyAlignment="1">
      <alignment horizontal="center" vertical="center" wrapText="1"/>
    </xf>
    <xf numFmtId="0" fontId="44" fillId="0" borderId="2" xfId="8" applyFont="1" applyFill="1" applyBorder="1" applyAlignment="1">
      <alignment horizontal="left" vertical="center" wrapText="1"/>
    </xf>
    <xf numFmtId="49" fontId="44" fillId="12" borderId="2" xfId="0" applyNumberFormat="1" applyFont="1" applyFill="1" applyBorder="1" applyAlignment="1">
      <alignment horizontal="center" vertical="center" wrapText="1"/>
    </xf>
    <xf numFmtId="0" fontId="44" fillId="0" borderId="2" xfId="15" applyFont="1" applyFill="1" applyBorder="1" applyAlignment="1">
      <alignment horizontal="left" vertical="center" wrapText="1"/>
    </xf>
    <xf numFmtId="4" fontId="40" fillId="12" borderId="35" xfId="4" applyNumberFormat="1" applyFont="1" applyFill="1" applyBorder="1" applyAlignment="1">
      <alignment horizontal="center" vertical="center" wrapText="1"/>
    </xf>
    <xf numFmtId="3" fontId="11" fillId="12" borderId="23" xfId="1" applyNumberFormat="1" applyFont="1" applyFill="1" applyBorder="1" applyAlignment="1">
      <alignment horizontal="center" vertical="center" wrapText="1"/>
    </xf>
    <xf numFmtId="3" fontId="47" fillId="12" borderId="23" xfId="1" applyNumberFormat="1" applyFont="1" applyFill="1" applyBorder="1" applyAlignment="1">
      <alignment horizontal="center" vertical="center" wrapText="1"/>
    </xf>
    <xf numFmtId="0" fontId="11" fillId="12" borderId="2" xfId="0" applyFont="1" applyFill="1" applyBorder="1" applyAlignment="1">
      <alignment horizontal="center" wrapText="1"/>
    </xf>
    <xf numFmtId="3" fontId="11" fillId="34" borderId="23" xfId="1" applyNumberFormat="1" applyFont="1" applyFill="1" applyBorder="1" applyAlignment="1">
      <alignment horizontal="center" vertical="center" wrapText="1"/>
    </xf>
    <xf numFmtId="3" fontId="11" fillId="0" borderId="2" xfId="1" applyNumberFormat="1" applyFont="1" applyFill="1" applyBorder="1" applyAlignment="1">
      <alignment horizontal="center" vertical="center" wrapText="1"/>
    </xf>
    <xf numFmtId="14" fontId="11" fillId="0" borderId="2" xfId="1" applyNumberFormat="1" applyFont="1" applyFill="1" applyBorder="1" applyAlignment="1">
      <alignment horizontal="center" vertical="center" wrapText="1"/>
    </xf>
    <xf numFmtId="0" fontId="11" fillId="0" borderId="0" xfId="0" applyFont="1" applyFill="1" applyAlignment="1">
      <alignment vertical="center"/>
    </xf>
    <xf numFmtId="0" fontId="11" fillId="0" borderId="2" xfId="0" applyFont="1" applyBorder="1" applyAlignment="1">
      <alignment horizontal="center" vertical="center"/>
    </xf>
    <xf numFmtId="3" fontId="43" fillId="35" borderId="2" xfId="1" applyNumberFormat="1" applyFont="1" applyFill="1" applyBorder="1" applyAlignment="1">
      <alignment horizontal="center" vertical="center" wrapText="1"/>
    </xf>
    <xf numFmtId="166" fontId="43" fillId="35" borderId="2" xfId="1" applyFont="1" applyFill="1" applyBorder="1" applyAlignment="1">
      <alignment horizontal="center" vertical="center" wrapText="1"/>
    </xf>
    <xf numFmtId="166" fontId="43" fillId="12" borderId="2" xfId="1" applyFont="1" applyFill="1" applyBorder="1" applyAlignment="1">
      <alignment horizontal="center" vertical="center" wrapText="1"/>
    </xf>
    <xf numFmtId="3" fontId="3" fillId="0" borderId="0" xfId="0" applyNumberFormat="1" applyFont="1" applyBorder="1" applyAlignment="1">
      <alignment vertical="center"/>
    </xf>
    <xf numFmtId="3" fontId="48" fillId="34" borderId="2" xfId="1" applyNumberFormat="1" applyFont="1" applyFill="1" applyBorder="1" applyAlignment="1">
      <alignment horizontal="center" vertical="center" wrapText="1"/>
    </xf>
    <xf numFmtId="166" fontId="48" fillId="34" borderId="2" xfId="1" applyFont="1" applyFill="1" applyBorder="1" applyAlignment="1">
      <alignment horizontal="center" vertical="center" wrapText="1"/>
    </xf>
    <xf numFmtId="166" fontId="3" fillId="0" borderId="0" xfId="1" applyFont="1" applyAlignment="1">
      <alignment vertical="center"/>
    </xf>
    <xf numFmtId="166" fontId="46" fillId="0" borderId="0" xfId="0" applyNumberFormat="1" applyFont="1" applyAlignment="1">
      <alignment vertical="center"/>
    </xf>
    <xf numFmtId="0" fontId="4" fillId="0" borderId="0" xfId="0" applyFont="1" applyBorder="1" applyAlignment="1">
      <alignment vertical="center"/>
    </xf>
    <xf numFmtId="166" fontId="4" fillId="0" borderId="0" xfId="1" applyFont="1" applyBorder="1" applyAlignment="1">
      <alignment vertical="center"/>
    </xf>
    <xf numFmtId="166" fontId="46" fillId="0" borderId="0" xfId="1" applyFont="1" applyAlignment="1">
      <alignment vertical="center"/>
    </xf>
    <xf numFmtId="165" fontId="3" fillId="0" borderId="0" xfId="0" applyNumberFormat="1" applyFont="1" applyAlignment="1">
      <alignment vertical="center"/>
    </xf>
    <xf numFmtId="165" fontId="46" fillId="0" borderId="0" xfId="0" applyNumberFormat="1" applyFont="1" applyBorder="1" applyAlignment="1">
      <alignment vertical="center"/>
    </xf>
    <xf numFmtId="166" fontId="32" fillId="0" borderId="0" xfId="1" applyFont="1" applyBorder="1" applyAlignment="1">
      <alignment vertical="center"/>
    </xf>
    <xf numFmtId="166" fontId="48" fillId="35" borderId="2" xfId="1" applyFont="1" applyFill="1" applyBorder="1" applyAlignment="1">
      <alignment horizontal="center" vertical="center" wrapText="1"/>
    </xf>
    <xf numFmtId="0" fontId="3" fillId="0" borderId="2" xfId="0" applyFont="1" applyBorder="1" applyAlignment="1">
      <alignment vertical="center"/>
    </xf>
    <xf numFmtId="165" fontId="4" fillId="0" borderId="2" xfId="0" applyNumberFormat="1" applyFont="1" applyBorder="1" applyAlignment="1">
      <alignment horizontal="center" vertical="center"/>
    </xf>
    <xf numFmtId="166" fontId="3" fillId="0" borderId="2" xfId="1" applyFont="1" applyBorder="1" applyAlignment="1">
      <alignment vertical="center"/>
    </xf>
    <xf numFmtId="166" fontId="3" fillId="0" borderId="2" xfId="0" applyNumberFormat="1" applyFont="1" applyBorder="1" applyAlignment="1">
      <alignment vertical="center"/>
    </xf>
    <xf numFmtId="0" fontId="3" fillId="0" borderId="2" xfId="0" applyFont="1" applyBorder="1" applyAlignment="1">
      <alignment vertical="center" wrapText="1"/>
    </xf>
    <xf numFmtId="4" fontId="3" fillId="0" borderId="2" xfId="0" applyNumberFormat="1" applyFont="1" applyBorder="1" applyAlignment="1">
      <alignment vertical="center"/>
    </xf>
    <xf numFmtId="0" fontId="4" fillId="0" borderId="2" xfId="0" applyFont="1" applyBorder="1" applyAlignment="1">
      <alignment vertical="center"/>
    </xf>
    <xf numFmtId="166" fontId="4" fillId="0" borderId="2" xfId="1" applyFont="1" applyBorder="1" applyAlignment="1">
      <alignment vertical="center"/>
    </xf>
    <xf numFmtId="166" fontId="4" fillId="0" borderId="2" xfId="1" applyFont="1" applyFill="1" applyBorder="1" applyAlignment="1">
      <alignment vertical="center"/>
    </xf>
    <xf numFmtId="165" fontId="46" fillId="10" borderId="2" xfId="0" applyNumberFormat="1" applyFont="1" applyFill="1" applyBorder="1" applyAlignment="1">
      <alignment vertical="center"/>
    </xf>
    <xf numFmtId="0" fontId="46" fillId="10" borderId="2" xfId="0" applyFont="1" applyFill="1" applyBorder="1" applyAlignment="1">
      <alignment vertical="center"/>
    </xf>
    <xf numFmtId="165" fontId="46" fillId="10" borderId="2" xfId="0" applyNumberFormat="1" applyFont="1" applyFill="1" applyBorder="1" applyAlignment="1">
      <alignment horizontal="right" vertical="center"/>
    </xf>
    <xf numFmtId="49" fontId="31" fillId="12" borderId="23" xfId="0" applyNumberFormat="1" applyFont="1" applyFill="1" applyBorder="1" applyAlignment="1">
      <alignment horizontal="center" vertical="center" wrapText="1"/>
    </xf>
    <xf numFmtId="49" fontId="50" fillId="12" borderId="23" xfId="0" applyNumberFormat="1" applyFont="1" applyFill="1" applyBorder="1" applyAlignment="1">
      <alignment horizontal="center" vertical="center" wrapText="1"/>
    </xf>
    <xf numFmtId="49" fontId="31" fillId="34" borderId="23" xfId="0" applyNumberFormat="1" applyFont="1" applyFill="1" applyBorder="1" applyAlignment="1">
      <alignment horizontal="center" vertical="center" wrapText="1"/>
    </xf>
    <xf numFmtId="49" fontId="51" fillId="0" borderId="2" xfId="1" applyNumberFormat="1" applyFont="1" applyFill="1" applyBorder="1" applyAlignment="1">
      <alignment horizontal="center" vertical="center" wrapText="1"/>
    </xf>
    <xf numFmtId="49" fontId="11" fillId="0" borderId="2" xfId="0" applyNumberFormat="1" applyFont="1" applyBorder="1" applyAlignment="1">
      <alignment vertical="center"/>
    </xf>
    <xf numFmtId="49" fontId="31" fillId="12" borderId="2" xfId="0" applyNumberFormat="1" applyFont="1" applyFill="1" applyBorder="1" applyAlignment="1">
      <alignment vertical="center" wrapText="1"/>
    </xf>
    <xf numFmtId="4" fontId="40" fillId="12" borderId="35" xfId="4" applyNumberFormat="1" applyFont="1" applyFill="1" applyBorder="1" applyAlignment="1">
      <alignment vertical="center" wrapText="1"/>
    </xf>
    <xf numFmtId="49" fontId="40" fillId="12" borderId="2" xfId="0" applyNumberFormat="1" applyFont="1" applyFill="1" applyBorder="1" applyAlignment="1">
      <alignment vertical="center" wrapText="1"/>
    </xf>
    <xf numFmtId="4" fontId="40" fillId="12" borderId="2" xfId="4" applyNumberFormat="1" applyFont="1" applyFill="1" applyBorder="1" applyAlignment="1">
      <alignment vertical="center" wrapText="1"/>
    </xf>
    <xf numFmtId="4" fontId="40" fillId="12" borderId="2" xfId="4" applyNumberFormat="1" applyFont="1" applyFill="1" applyBorder="1" applyAlignment="1">
      <alignment horizontal="center" vertical="center" wrapText="1"/>
    </xf>
    <xf numFmtId="4" fontId="43" fillId="34" borderId="35" xfId="4" applyNumberFormat="1" applyFont="1" applyFill="1" applyBorder="1" applyAlignment="1">
      <alignment horizontal="center" vertical="center" wrapText="1"/>
    </xf>
    <xf numFmtId="0" fontId="3" fillId="30" borderId="47" xfId="15" applyFont="1" applyFill="1" applyBorder="1" applyAlignment="1">
      <alignment horizontal="center"/>
    </xf>
    <xf numFmtId="49" fontId="11" fillId="0" borderId="2" xfId="1" applyNumberFormat="1" applyFont="1" applyFill="1" applyBorder="1" applyAlignment="1">
      <alignment horizontal="center" vertical="center" wrapText="1"/>
    </xf>
    <xf numFmtId="49" fontId="11" fillId="36" borderId="2" xfId="1" applyNumberFormat="1" applyFont="1" applyFill="1" applyBorder="1" applyAlignment="1">
      <alignment vertical="center" wrapText="1"/>
    </xf>
    <xf numFmtId="0" fontId="3" fillId="31" borderId="47" xfId="17" applyFont="1" applyFill="1" applyBorder="1" applyAlignment="1">
      <alignment horizontal="center"/>
    </xf>
    <xf numFmtId="49" fontId="11" fillId="0" borderId="2" xfId="1" applyNumberFormat="1" applyFont="1" applyFill="1" applyBorder="1" applyAlignment="1">
      <alignment vertical="center" wrapText="1"/>
    </xf>
    <xf numFmtId="0" fontId="4" fillId="2" borderId="0" xfId="0" applyFont="1" applyFill="1" applyBorder="1" applyAlignment="1">
      <alignment horizontal="left" vertical="center" wrapText="1"/>
    </xf>
    <xf numFmtId="167" fontId="4" fillId="2" borderId="18" xfId="1" applyNumberFormat="1" applyFont="1" applyFill="1" applyBorder="1" applyAlignment="1">
      <alignment horizontal="center" vertical="center" wrapText="1"/>
    </xf>
    <xf numFmtId="167" fontId="4" fillId="2" borderId="24" xfId="1" applyNumberFormat="1" applyFont="1" applyFill="1" applyBorder="1" applyAlignment="1">
      <alignment horizontal="center" vertical="center" wrapText="1"/>
    </xf>
    <xf numFmtId="167" fontId="4" fillId="12" borderId="2" xfId="1" applyNumberFormat="1" applyFont="1" applyFill="1" applyBorder="1" applyAlignment="1">
      <alignment horizontal="center" vertical="center" wrapText="1"/>
    </xf>
    <xf numFmtId="167" fontId="4" fillId="2" borderId="2" xfId="1" applyNumberFormat="1" applyFont="1" applyFill="1" applyBorder="1" applyAlignment="1">
      <alignment horizontal="center" vertical="center" wrapText="1"/>
    </xf>
    <xf numFmtId="167" fontId="4" fillId="2" borderId="15" xfId="1" applyNumberFormat="1" applyFont="1" applyFill="1" applyBorder="1" applyAlignment="1">
      <alignment horizontal="center" vertical="center" wrapText="1"/>
    </xf>
    <xf numFmtId="166" fontId="4" fillId="2" borderId="18" xfId="1" applyFont="1" applyFill="1" applyBorder="1" applyAlignment="1">
      <alignment horizontal="center" vertical="center" wrapText="1"/>
    </xf>
    <xf numFmtId="166" fontId="4" fillId="2" borderId="15" xfId="1" applyFont="1" applyFill="1" applyBorder="1" applyAlignment="1">
      <alignment horizontal="center" vertical="center" wrapText="1"/>
    </xf>
    <xf numFmtId="166" fontId="4" fillId="2" borderId="24" xfId="1" applyFont="1" applyFill="1" applyBorder="1" applyAlignment="1">
      <alignment horizontal="center" vertical="center" wrapText="1"/>
    </xf>
    <xf numFmtId="166" fontId="4" fillId="2" borderId="35" xfId="1" applyFont="1" applyFill="1" applyBorder="1" applyAlignment="1">
      <alignment horizontal="center" vertical="center" wrapText="1"/>
    </xf>
    <xf numFmtId="166" fontId="4" fillId="2" borderId="23" xfId="1" applyFont="1" applyFill="1" applyBorder="1" applyAlignment="1">
      <alignment horizontal="center" vertical="center" wrapText="1"/>
    </xf>
    <xf numFmtId="0" fontId="3" fillId="2" borderId="43" xfId="0" applyFont="1" applyFill="1" applyBorder="1" applyAlignment="1" applyProtection="1">
      <alignment horizontal="center" vertical="top"/>
      <protection locked="0"/>
    </xf>
    <xf numFmtId="0" fontId="3" fillId="2" borderId="44" xfId="0" applyFont="1" applyFill="1" applyBorder="1" applyAlignment="1" applyProtection="1">
      <alignment horizontal="center" vertical="top"/>
      <protection locked="0"/>
    </xf>
    <xf numFmtId="0" fontId="3" fillId="2" borderId="37" xfId="0" applyFont="1" applyFill="1" applyBorder="1" applyAlignment="1" applyProtection="1">
      <alignment horizontal="center" vertical="top"/>
      <protection locked="0"/>
    </xf>
    <xf numFmtId="0" fontId="26" fillId="0" borderId="0" xfId="0" applyFont="1" applyAlignment="1">
      <alignment horizontal="center"/>
    </xf>
    <xf numFmtId="0" fontId="3" fillId="2" borderId="18" xfId="0" applyFont="1" applyFill="1" applyBorder="1" applyAlignment="1" applyProtection="1">
      <alignment horizontal="center" vertical="top"/>
      <protection locked="0"/>
    </xf>
    <xf numFmtId="0" fontId="3" fillId="2" borderId="15" xfId="0" applyFont="1" applyFill="1" applyBorder="1" applyAlignment="1" applyProtection="1">
      <alignment horizontal="center" vertical="top"/>
      <protection locked="0"/>
    </xf>
    <xf numFmtId="0" fontId="3" fillId="2" borderId="28" xfId="0" applyFont="1" applyFill="1" applyBorder="1" applyAlignment="1" applyProtection="1">
      <alignment horizontal="center" vertical="top"/>
      <protection locked="0"/>
    </xf>
    <xf numFmtId="0" fontId="4" fillId="14" borderId="2" xfId="0" applyFont="1" applyFill="1" applyBorder="1" applyAlignment="1" applyProtection="1">
      <alignment horizontal="center" vertical="center" wrapText="1"/>
      <protection locked="0"/>
    </xf>
    <xf numFmtId="0" fontId="4" fillId="14" borderId="3" xfId="0" applyFont="1" applyFill="1" applyBorder="1" applyAlignment="1" applyProtection="1">
      <alignment horizontal="center" vertical="center" wrapText="1"/>
      <protection locked="0"/>
    </xf>
    <xf numFmtId="0" fontId="4" fillId="14" borderId="25" xfId="0" applyFont="1" applyFill="1" applyBorder="1" applyAlignment="1" applyProtection="1">
      <alignment horizontal="center" vertical="center" wrapText="1"/>
      <protection locked="0"/>
    </xf>
    <xf numFmtId="0" fontId="4" fillId="14" borderId="21" xfId="0" applyFont="1" applyFill="1" applyBorder="1" applyAlignment="1" applyProtection="1">
      <alignment horizontal="center" vertical="center" wrapText="1"/>
      <protection locked="0"/>
    </xf>
    <xf numFmtId="0" fontId="22" fillId="13" borderId="38" xfId="0" applyFont="1" applyFill="1" applyBorder="1" applyAlignment="1" applyProtection="1">
      <alignment horizontal="center" vertical="center"/>
      <protection locked="0"/>
    </xf>
    <xf numFmtId="0" fontId="22" fillId="13" borderId="42" xfId="0" applyFont="1" applyFill="1" applyBorder="1" applyAlignment="1" applyProtection="1">
      <alignment horizontal="center" vertical="center"/>
      <protection locked="0"/>
    </xf>
    <xf numFmtId="0" fontId="22" fillId="13" borderId="26" xfId="0" applyFont="1" applyFill="1" applyBorder="1" applyAlignment="1" applyProtection="1">
      <alignment horizontal="center" vertical="center"/>
      <protection locked="0"/>
    </xf>
    <xf numFmtId="0" fontId="22" fillId="13" borderId="39" xfId="0" applyFont="1" applyFill="1" applyBorder="1" applyAlignment="1" applyProtection="1">
      <alignment horizontal="center" vertical="center" textRotation="90" wrapText="1"/>
      <protection locked="0"/>
    </xf>
    <xf numFmtId="0" fontId="22" fillId="13" borderId="19" xfId="0" applyFont="1" applyFill="1" applyBorder="1" applyAlignment="1" applyProtection="1">
      <alignment horizontal="center" vertical="center" textRotation="90" wrapText="1"/>
      <protection locked="0"/>
    </xf>
    <xf numFmtId="0" fontId="24" fillId="13" borderId="23" xfId="0" applyFont="1" applyFill="1" applyBorder="1" applyAlignment="1" applyProtection="1">
      <alignment horizontal="center" vertical="center" textRotation="90" wrapText="1"/>
      <protection locked="0"/>
    </xf>
    <xf numFmtId="0" fontId="22" fillId="13" borderId="40" xfId="0" applyFont="1" applyFill="1" applyBorder="1" applyAlignment="1" applyProtection="1">
      <alignment horizontal="center" vertical="center"/>
      <protection locked="0"/>
    </xf>
    <xf numFmtId="0" fontId="22" fillId="13" borderId="20" xfId="0" applyFont="1" applyFill="1" applyBorder="1" applyAlignment="1" applyProtection="1">
      <alignment horizontal="center" vertical="center"/>
      <protection locked="0"/>
    </xf>
    <xf numFmtId="0" fontId="22" fillId="13" borderId="32" xfId="0" applyFont="1" applyFill="1" applyBorder="1" applyAlignment="1" applyProtection="1">
      <alignment horizontal="center" vertical="center"/>
      <protection locked="0"/>
    </xf>
    <xf numFmtId="0" fontId="22" fillId="13" borderId="41" xfId="0" applyFont="1" applyFill="1" applyBorder="1" applyAlignment="1" applyProtection="1">
      <alignment horizontal="center" vertical="center"/>
      <protection locked="0"/>
    </xf>
    <xf numFmtId="0" fontId="22" fillId="13" borderId="5" xfId="0" applyFont="1" applyFill="1" applyBorder="1" applyAlignment="1" applyProtection="1">
      <alignment horizontal="center" vertical="center"/>
      <protection locked="0"/>
    </xf>
    <xf numFmtId="0" fontId="22" fillId="13" borderId="21" xfId="0" applyFont="1" applyFill="1" applyBorder="1" applyAlignment="1" applyProtection="1">
      <alignment horizontal="center" vertical="center"/>
      <protection locked="0"/>
    </xf>
    <xf numFmtId="0" fontId="22" fillId="13" borderId="1" xfId="0" applyFont="1" applyFill="1" applyBorder="1" applyAlignment="1" applyProtection="1">
      <alignment horizontal="center" vertical="center"/>
      <protection locked="0"/>
    </xf>
    <xf numFmtId="0" fontId="4" fillId="14" borderId="11" xfId="0" applyFont="1" applyFill="1" applyBorder="1" applyAlignment="1" applyProtection="1">
      <alignment horizontal="center" vertical="center" wrapText="1"/>
      <protection locked="0"/>
    </xf>
    <xf numFmtId="0" fontId="4" fillId="14" borderId="5" xfId="0" applyFont="1" applyFill="1" applyBorder="1" applyAlignment="1" applyProtection="1">
      <alignment horizontal="center" vertical="center" wrapText="1"/>
      <protection locked="0"/>
    </xf>
    <xf numFmtId="0" fontId="4" fillId="14" borderId="9" xfId="0" applyFont="1" applyFill="1" applyBorder="1" applyAlignment="1" applyProtection="1">
      <alignment horizontal="center" vertical="center" wrapText="1"/>
      <protection locked="0"/>
    </xf>
    <xf numFmtId="0" fontId="4" fillId="14" borderId="36" xfId="0" applyFont="1" applyFill="1" applyBorder="1" applyAlignment="1" applyProtection="1">
      <alignment horizontal="center" vertical="center"/>
      <protection locked="0"/>
    </xf>
    <xf numFmtId="0" fontId="4" fillId="14" borderId="26" xfId="0" applyFont="1" applyFill="1" applyBorder="1" applyAlignment="1" applyProtection="1">
      <alignment horizontal="center" vertical="center"/>
      <protection locked="0"/>
    </xf>
    <xf numFmtId="0" fontId="4" fillId="14" borderId="35" xfId="0" applyFont="1" applyFill="1" applyBorder="1" applyAlignment="1" applyProtection="1">
      <alignment horizontal="center" vertical="center"/>
      <protection locked="0"/>
    </xf>
    <xf numFmtId="0" fontId="4" fillId="14" borderId="23" xfId="0" applyFont="1" applyFill="1" applyBorder="1" applyAlignment="1" applyProtection="1">
      <alignment horizontal="center" vertical="center"/>
      <protection locked="0"/>
    </xf>
    <xf numFmtId="0" fontId="4" fillId="14" borderId="35" xfId="0" applyFont="1" applyFill="1" applyBorder="1" applyAlignment="1" applyProtection="1">
      <alignment horizontal="center" vertical="center" wrapText="1"/>
      <protection locked="0"/>
    </xf>
    <xf numFmtId="0" fontId="4" fillId="14" borderId="23" xfId="0" applyFont="1" applyFill="1" applyBorder="1" applyAlignment="1" applyProtection="1">
      <alignment horizontal="center" vertical="center" wrapText="1"/>
      <protection locked="0"/>
    </xf>
    <xf numFmtId="0" fontId="9" fillId="0" borderId="11" xfId="0" applyFont="1" applyBorder="1" applyAlignment="1">
      <alignment vertical="top" wrapText="1"/>
    </xf>
    <xf numFmtId="0" fontId="9" fillId="0" borderId="5" xfId="0" applyFont="1" applyBorder="1" applyAlignment="1">
      <alignment vertical="top" wrapText="1"/>
    </xf>
    <xf numFmtId="0" fontId="9" fillId="0" borderId="9" xfId="0" applyFont="1" applyBorder="1" applyAlignment="1">
      <alignment vertical="top" wrapText="1"/>
    </xf>
    <xf numFmtId="0" fontId="0" fillId="0" borderId="8"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9" fillId="0" borderId="8" xfId="0" applyFont="1" applyBorder="1" applyAlignment="1">
      <alignment horizontal="left" vertical="top" wrapText="1" indent="7"/>
    </xf>
    <xf numFmtId="0" fontId="9" fillId="0" borderId="0" xfId="0" applyFont="1" applyBorder="1" applyAlignment="1">
      <alignment horizontal="left" vertical="top" wrapText="1" indent="7"/>
    </xf>
    <xf numFmtId="0" fontId="9" fillId="0" borderId="6" xfId="0" applyFont="1" applyBorder="1" applyAlignment="1">
      <alignment horizontal="left" vertical="top" wrapText="1" indent="7"/>
    </xf>
    <xf numFmtId="0" fontId="8" fillId="0" borderId="8" xfId="0" applyFont="1" applyBorder="1" applyAlignment="1">
      <alignment vertical="top" wrapText="1"/>
    </xf>
    <xf numFmtId="0" fontId="8" fillId="0" borderId="0" xfId="0" applyFont="1" applyBorder="1" applyAlignment="1">
      <alignment vertical="top" wrapText="1"/>
    </xf>
    <xf numFmtId="0" fontId="8" fillId="0" borderId="6" xfId="0" applyFont="1" applyBorder="1" applyAlignment="1">
      <alignment vertical="top" wrapText="1"/>
    </xf>
    <xf numFmtId="0" fontId="6" fillId="0" borderId="8" xfId="0" applyFont="1" applyBorder="1" applyAlignment="1">
      <alignment horizontal="center" vertical="top" wrapText="1"/>
    </xf>
    <xf numFmtId="0" fontId="6" fillId="0" borderId="0" xfId="0" applyFont="1" applyBorder="1" applyAlignment="1">
      <alignment horizontal="center" vertical="top" wrapText="1"/>
    </xf>
    <xf numFmtId="0" fontId="6" fillId="0" borderId="6" xfId="0" applyFont="1" applyBorder="1" applyAlignment="1">
      <alignment horizontal="center" vertical="top" wrapText="1"/>
    </xf>
    <xf numFmtId="0" fontId="11" fillId="0" borderId="8" xfId="0" applyFont="1" applyBorder="1" applyAlignment="1">
      <alignment vertical="top" wrapText="1"/>
    </xf>
    <xf numFmtId="0" fontId="11" fillId="0" borderId="0" xfId="0" applyFont="1" applyBorder="1" applyAlignment="1">
      <alignment vertical="top" wrapText="1"/>
    </xf>
    <xf numFmtId="0" fontId="11" fillId="0" borderId="6" xfId="0" applyFont="1" applyBorder="1" applyAlignment="1">
      <alignment vertical="top" wrapText="1"/>
    </xf>
    <xf numFmtId="0" fontId="11" fillId="0" borderId="0" xfId="0" applyFont="1" applyBorder="1" applyAlignment="1">
      <alignment horizontal="left" vertical="top" wrapText="1" indent="11"/>
    </xf>
    <xf numFmtId="0" fontId="11" fillId="0" borderId="6" xfId="0" applyFont="1" applyBorder="1" applyAlignment="1">
      <alignment horizontal="left" vertical="top" wrapText="1" indent="11"/>
    </xf>
    <xf numFmtId="0" fontId="11" fillId="0" borderId="8" xfId="0" applyFont="1" applyBorder="1" applyAlignment="1">
      <alignment horizontal="left" vertical="top" wrapText="1"/>
    </xf>
    <xf numFmtId="0" fontId="11" fillId="0" borderId="0" xfId="0" applyFont="1" applyBorder="1" applyAlignment="1">
      <alignment horizontal="left" vertical="top" wrapText="1"/>
    </xf>
    <xf numFmtId="0" fontId="11" fillId="0" borderId="8" xfId="0" applyFont="1" applyBorder="1" applyAlignment="1">
      <alignment horizontal="left" vertical="top" wrapText="1" indent="4"/>
    </xf>
    <xf numFmtId="0" fontId="11" fillId="0" borderId="0" xfId="0" applyFont="1" applyBorder="1" applyAlignment="1">
      <alignment horizontal="left" vertical="top" wrapText="1" indent="4"/>
    </xf>
    <xf numFmtId="0" fontId="11" fillId="0" borderId="6" xfId="0" applyFont="1" applyBorder="1" applyAlignment="1">
      <alignment horizontal="left" vertical="top" wrapText="1" indent="4"/>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1" fillId="0" borderId="6" xfId="0" applyFont="1" applyBorder="1" applyAlignment="1">
      <alignment horizontal="justify"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10" fillId="0" borderId="22" xfId="0" applyFont="1" applyBorder="1" applyAlignment="1">
      <alignment horizontal="center" vertical="top" wrapText="1"/>
    </xf>
    <xf numFmtId="0" fontId="10" fillId="0" borderId="33" xfId="0" applyFont="1" applyBorder="1" applyAlignment="1">
      <alignment horizontal="center" vertical="top" wrapText="1"/>
    </xf>
    <xf numFmtId="0" fontId="10" fillId="0" borderId="34" xfId="0" applyFont="1" applyBorder="1" applyAlignment="1">
      <alignment horizontal="center" vertical="top" wrapText="1"/>
    </xf>
    <xf numFmtId="0" fontId="10" fillId="0" borderId="11" xfId="0" applyFont="1" applyBorder="1" applyAlignment="1">
      <alignment horizontal="left" vertical="top" wrapText="1" indent="4"/>
    </xf>
    <xf numFmtId="0" fontId="0" fillId="0" borderId="9" xfId="0" applyBorder="1"/>
    <xf numFmtId="0" fontId="10" fillId="0" borderId="11" xfId="0" applyFont="1" applyBorder="1" applyAlignment="1">
      <alignment vertical="top" wrapText="1"/>
    </xf>
    <xf numFmtId="0" fontId="10" fillId="0" borderId="5" xfId="0" applyFont="1" applyBorder="1" applyAlignment="1">
      <alignment vertical="top" wrapText="1"/>
    </xf>
    <xf numFmtId="0" fontId="10" fillId="0" borderId="9" xfId="0" applyFont="1" applyBorder="1" applyAlignment="1">
      <alignment vertical="top" wrapText="1"/>
    </xf>
    <xf numFmtId="0" fontId="10" fillId="0" borderId="8" xfId="0" applyFont="1" applyBorder="1" applyAlignment="1">
      <alignment horizontal="left" vertical="top" wrapText="1" indent="4"/>
    </xf>
    <xf numFmtId="0" fontId="10" fillId="0" borderId="6" xfId="0" applyFont="1" applyBorder="1" applyAlignment="1">
      <alignment horizontal="left" vertical="top" wrapText="1" indent="4"/>
    </xf>
    <xf numFmtId="0" fontId="10" fillId="0" borderId="0" xfId="0" applyFont="1" applyBorder="1" applyAlignment="1">
      <alignment horizontal="left" vertical="top" wrapText="1" indent="4"/>
    </xf>
    <xf numFmtId="0" fontId="10" fillId="0" borderId="12" xfId="0" applyFont="1" applyBorder="1" applyAlignment="1">
      <alignment vertical="top" wrapText="1"/>
    </xf>
    <xf numFmtId="0" fontId="10" fillId="0" borderId="14" xfId="0" applyFont="1" applyBorder="1" applyAlignment="1">
      <alignment vertical="top" wrapText="1"/>
    </xf>
    <xf numFmtId="0" fontId="12" fillId="0" borderId="22" xfId="0" applyFont="1" applyBorder="1" applyAlignment="1">
      <alignment horizontal="center" vertical="top" wrapText="1"/>
    </xf>
    <xf numFmtId="0" fontId="12" fillId="0" borderId="34" xfId="0" applyFont="1" applyBorder="1" applyAlignment="1">
      <alignment horizontal="center" vertical="top" wrapText="1"/>
    </xf>
    <xf numFmtId="0" fontId="12" fillId="0" borderId="33" xfId="0" applyFont="1" applyBorder="1" applyAlignment="1">
      <alignment horizontal="center"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10" fillId="0" borderId="14" xfId="0" applyFont="1" applyBorder="1" applyAlignment="1">
      <alignment horizontal="left" vertical="top" wrapText="1"/>
    </xf>
    <xf numFmtId="0" fontId="0" fillId="0" borderId="34" xfId="0" applyBorder="1"/>
    <xf numFmtId="0" fontId="0" fillId="0" borderId="33" xfId="0" applyBorder="1"/>
    <xf numFmtId="0" fontId="10" fillId="0" borderId="8" xfId="0" applyFont="1" applyBorder="1" applyAlignment="1">
      <alignment horizontal="left" vertical="top"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0" fillId="0" borderId="8" xfId="0" applyFont="1" applyBorder="1" applyAlignment="1">
      <alignment horizontal="left" wrapText="1"/>
    </xf>
    <xf numFmtId="0" fontId="10" fillId="0" borderId="0" xfId="0" applyFont="1" applyBorder="1" applyAlignment="1">
      <alignment horizontal="left" wrapText="1"/>
    </xf>
    <xf numFmtId="0" fontId="10" fillId="0" borderId="6" xfId="0" applyFont="1" applyBorder="1" applyAlignment="1">
      <alignment horizontal="left" wrapText="1"/>
    </xf>
    <xf numFmtId="0" fontId="10" fillId="0" borderId="8" xfId="0" applyFont="1" applyBorder="1" applyAlignment="1">
      <alignment horizontal="center" vertical="top" wrapText="1"/>
    </xf>
    <xf numFmtId="0" fontId="10" fillId="0" borderId="6" xfId="0" applyFont="1" applyBorder="1" applyAlignment="1">
      <alignment horizontal="center" vertical="top" wrapText="1"/>
    </xf>
    <xf numFmtId="0" fontId="13" fillId="0" borderId="11" xfId="0" applyFont="1" applyBorder="1" applyAlignment="1">
      <alignment horizontal="center" wrapText="1"/>
    </xf>
    <xf numFmtId="0" fontId="13" fillId="0" borderId="5" xfId="0" applyFont="1" applyBorder="1" applyAlignment="1">
      <alignment horizontal="center" wrapText="1"/>
    </xf>
    <xf numFmtId="0" fontId="13" fillId="0" borderId="9" xfId="0" applyFont="1" applyBorder="1" applyAlignment="1">
      <alignment horizontal="center" wrapText="1"/>
    </xf>
    <xf numFmtId="0" fontId="18" fillId="2" borderId="8" xfId="0" applyFont="1" applyFill="1" applyBorder="1" applyAlignment="1">
      <alignment horizontal="center" vertical="top" wrapText="1"/>
    </xf>
    <xf numFmtId="0" fontId="18" fillId="2" borderId="6" xfId="0" applyFont="1" applyFill="1" applyBorder="1" applyAlignment="1">
      <alignment horizontal="center" vertical="top" wrapText="1"/>
    </xf>
    <xf numFmtId="0" fontId="10" fillId="0" borderId="22" xfId="0" applyFont="1" applyBorder="1" applyAlignment="1">
      <alignment vertical="top" wrapText="1"/>
    </xf>
    <xf numFmtId="0" fontId="10" fillId="0" borderId="34" xfId="0" applyFont="1" applyBorder="1" applyAlignment="1">
      <alignment vertical="top" wrapText="1"/>
    </xf>
    <xf numFmtId="0" fontId="10" fillId="0" borderId="33" xfId="0" applyFont="1" applyBorder="1" applyAlignment="1">
      <alignment vertical="top" wrapText="1"/>
    </xf>
    <xf numFmtId="0" fontId="10" fillId="0" borderId="12" xfId="0" applyFont="1" applyBorder="1" applyAlignment="1">
      <alignment horizontal="center" vertical="top" wrapText="1"/>
    </xf>
    <xf numFmtId="0" fontId="10" fillId="0" borderId="14" xfId="0" applyFont="1" applyBorder="1" applyAlignment="1">
      <alignment horizontal="center" vertical="top" wrapText="1"/>
    </xf>
    <xf numFmtId="0" fontId="10" fillId="0" borderId="0" xfId="0" applyFont="1" applyBorder="1" applyAlignment="1">
      <alignment horizontal="center" vertical="top" wrapText="1"/>
    </xf>
    <xf numFmtId="0" fontId="10" fillId="0" borderId="15" xfId="0" applyFont="1" applyBorder="1" applyAlignment="1">
      <alignment horizontal="center" vertical="top" wrapText="1"/>
    </xf>
    <xf numFmtId="0" fontId="14" fillId="0" borderId="11" xfId="0" applyFont="1" applyBorder="1" applyAlignment="1">
      <alignment horizontal="center" vertical="top" wrapText="1"/>
    </xf>
    <xf numFmtId="0" fontId="14" fillId="0" borderId="5" xfId="0" applyFont="1" applyBorder="1" applyAlignment="1">
      <alignment horizontal="center" vertical="top" wrapText="1"/>
    </xf>
    <xf numFmtId="0" fontId="14" fillId="0" borderId="9" xfId="0" applyFont="1" applyBorder="1" applyAlignment="1">
      <alignment horizontal="center" vertical="top" wrapText="1"/>
    </xf>
    <xf numFmtId="0" fontId="10" fillId="0" borderId="8" xfId="0" applyFont="1" applyBorder="1" applyAlignment="1">
      <alignment vertical="top" wrapText="1"/>
    </xf>
    <xf numFmtId="0" fontId="10" fillId="0" borderId="0" xfId="0" applyFont="1" applyBorder="1" applyAlignment="1">
      <alignment vertical="top" wrapText="1"/>
    </xf>
    <xf numFmtId="0" fontId="10" fillId="0" borderId="6" xfId="0" applyFont="1" applyBorder="1" applyAlignment="1">
      <alignment vertical="top" wrapText="1"/>
    </xf>
    <xf numFmtId="0" fontId="10" fillId="0" borderId="7" xfId="0" applyFont="1" applyBorder="1" applyAlignment="1">
      <alignment horizontal="center" vertical="top" wrapText="1"/>
    </xf>
    <xf numFmtId="0" fontId="7" fillId="0" borderId="0" xfId="0" applyFont="1" applyBorder="1" applyAlignment="1">
      <alignment horizontal="justify" vertical="top" wrapText="1"/>
    </xf>
    <xf numFmtId="0" fontId="7" fillId="0" borderId="6" xfId="0" applyFont="1" applyBorder="1" applyAlignment="1">
      <alignment horizontal="justify" vertical="top" wrapText="1"/>
    </xf>
    <xf numFmtId="0" fontId="10" fillId="0" borderId="1" xfId="0" applyFont="1" applyBorder="1" applyAlignment="1">
      <alignment horizontal="center" vertical="top" wrapText="1"/>
    </xf>
    <xf numFmtId="0" fontId="11" fillId="0" borderId="6" xfId="0" applyFont="1" applyBorder="1" applyAlignment="1">
      <alignment horizontal="left" vertical="top" wrapText="1"/>
    </xf>
    <xf numFmtId="0" fontId="7" fillId="0" borderId="8" xfId="0" applyFont="1" applyBorder="1" applyAlignment="1">
      <alignment horizontal="justify" vertical="top" wrapText="1"/>
    </xf>
    <xf numFmtId="0" fontId="10" fillId="0" borderId="29" xfId="0" applyFont="1" applyBorder="1" applyAlignment="1">
      <alignment horizontal="center" vertical="top" wrapText="1"/>
    </xf>
    <xf numFmtId="0" fontId="7" fillId="0" borderId="8" xfId="0" applyFont="1" applyBorder="1" applyAlignment="1">
      <alignment horizontal="left" vertical="top" wrapText="1" indent="4"/>
    </xf>
    <xf numFmtId="0" fontId="7" fillId="0" borderId="0" xfId="0" applyFont="1" applyBorder="1" applyAlignment="1">
      <alignment horizontal="left" vertical="top" wrapText="1" indent="4"/>
    </xf>
    <xf numFmtId="0" fontId="7" fillId="0" borderId="6" xfId="0" applyFont="1" applyBorder="1" applyAlignment="1">
      <alignment horizontal="left" vertical="top" wrapText="1" indent="4"/>
    </xf>
    <xf numFmtId="0" fontId="8" fillId="0" borderId="8" xfId="0" applyFont="1" applyBorder="1" applyAlignment="1">
      <alignment horizontal="left" vertical="top" wrapText="1" indent="4"/>
    </xf>
    <xf numFmtId="0" fontId="8" fillId="0" borderId="0" xfId="0" applyFont="1" applyBorder="1" applyAlignment="1">
      <alignment horizontal="left" vertical="top" wrapText="1" indent="4"/>
    </xf>
    <xf numFmtId="0" fontId="8" fillId="0" borderId="6" xfId="0" applyFont="1" applyBorder="1" applyAlignment="1">
      <alignment horizontal="left" vertical="top" wrapText="1" indent="4"/>
    </xf>
    <xf numFmtId="0" fontId="10" fillId="0" borderId="13" xfId="0" applyFont="1" applyBorder="1" applyAlignment="1">
      <alignment vertical="top" wrapText="1"/>
    </xf>
    <xf numFmtId="49" fontId="50" fillId="12" borderId="25" xfId="0" applyNumberFormat="1" applyFont="1" applyFill="1" applyBorder="1" applyAlignment="1">
      <alignment horizontal="center" vertical="center" wrapText="1"/>
    </xf>
    <xf numFmtId="49" fontId="50" fillId="12" borderId="45" xfId="0" applyNumberFormat="1" applyFont="1" applyFill="1" applyBorder="1" applyAlignment="1">
      <alignment horizontal="center" vertical="center" wrapText="1"/>
    </xf>
    <xf numFmtId="49" fontId="50" fillId="12" borderId="48" xfId="0" applyNumberFormat="1" applyFont="1" applyFill="1" applyBorder="1" applyAlignment="1">
      <alignment horizontal="center" vertical="center" wrapText="1"/>
    </xf>
    <xf numFmtId="49" fontId="50" fillId="12" borderId="20" xfId="0" applyNumberFormat="1" applyFont="1" applyFill="1" applyBorder="1" applyAlignment="1">
      <alignment horizontal="center" vertical="center" wrapText="1"/>
    </xf>
    <xf numFmtId="49" fontId="50" fillId="12" borderId="21" xfId="0" applyNumberFormat="1" applyFont="1" applyFill="1" applyBorder="1" applyAlignment="1">
      <alignment horizontal="center" vertical="center" wrapText="1"/>
    </xf>
    <xf numFmtId="49" fontId="50" fillId="12" borderId="32" xfId="0" applyNumberFormat="1" applyFont="1" applyFill="1" applyBorder="1" applyAlignment="1">
      <alignment horizontal="center" vertical="center" wrapText="1"/>
    </xf>
    <xf numFmtId="0" fontId="40" fillId="12" borderId="35" xfId="4" applyFont="1" applyFill="1" applyBorder="1" applyAlignment="1">
      <alignment horizontal="center" vertical="center" wrapText="1"/>
    </xf>
    <xf numFmtId="0" fontId="40" fillId="12" borderId="19" xfId="4" applyFont="1" applyFill="1" applyBorder="1" applyAlignment="1">
      <alignment horizontal="center" vertical="center" wrapText="1"/>
    </xf>
    <xf numFmtId="0" fontId="40" fillId="12" borderId="23" xfId="4" applyFont="1" applyFill="1" applyBorder="1" applyAlignment="1">
      <alignment horizontal="center" vertical="center" wrapText="1"/>
    </xf>
    <xf numFmtId="0" fontId="4" fillId="0" borderId="1" xfId="0" applyFont="1" applyBorder="1" applyAlignment="1">
      <alignment horizontal="center" vertical="center"/>
    </xf>
    <xf numFmtId="4" fontId="40" fillId="12" borderId="35" xfId="4" applyNumberFormat="1" applyFont="1" applyFill="1" applyBorder="1" applyAlignment="1">
      <alignment horizontal="center" vertical="center" wrapText="1"/>
    </xf>
    <xf numFmtId="4" fontId="40" fillId="12" borderId="23" xfId="4" applyNumberFormat="1" applyFont="1" applyFill="1" applyBorder="1" applyAlignment="1">
      <alignment horizontal="center" vertical="center" wrapText="1"/>
    </xf>
    <xf numFmtId="4" fontId="43" fillId="12" borderId="35" xfId="4" applyNumberFormat="1" applyFont="1" applyFill="1" applyBorder="1" applyAlignment="1">
      <alignment horizontal="center" vertical="center" wrapText="1"/>
    </xf>
    <xf numFmtId="4" fontId="43" fillId="12" borderId="19" xfId="4" applyNumberFormat="1" applyFont="1" applyFill="1" applyBorder="1" applyAlignment="1">
      <alignment horizontal="center" vertical="center" wrapText="1"/>
    </xf>
    <xf numFmtId="4" fontId="43" fillId="12" borderId="23" xfId="4" applyNumberFormat="1" applyFont="1" applyFill="1" applyBorder="1" applyAlignment="1">
      <alignment horizontal="center" vertical="center" wrapText="1"/>
    </xf>
    <xf numFmtId="4" fontId="40" fillId="12" borderId="19" xfId="4" applyNumberFormat="1" applyFont="1" applyFill="1" applyBorder="1" applyAlignment="1">
      <alignment horizontal="center" vertical="center" wrapText="1"/>
    </xf>
    <xf numFmtId="4" fontId="40" fillId="12" borderId="35" xfId="1" applyNumberFormat="1" applyFont="1" applyFill="1" applyBorder="1" applyAlignment="1">
      <alignment horizontal="center" vertical="center" wrapText="1"/>
    </xf>
    <xf numFmtId="4" fontId="40" fillId="12" borderId="23" xfId="1" applyNumberFormat="1" applyFont="1" applyFill="1" applyBorder="1" applyAlignment="1">
      <alignment horizontal="center" vertical="center" wrapText="1"/>
    </xf>
    <xf numFmtId="3" fontId="40" fillId="12" borderId="35" xfId="1" applyNumberFormat="1" applyFont="1" applyFill="1" applyBorder="1" applyAlignment="1">
      <alignment horizontal="center" vertical="center" wrapText="1"/>
    </xf>
    <xf numFmtId="3" fontId="40" fillId="12" borderId="23" xfId="1" applyNumberFormat="1" applyFont="1" applyFill="1" applyBorder="1" applyAlignment="1">
      <alignment horizontal="center" vertical="center" wrapText="1"/>
    </xf>
    <xf numFmtId="0" fontId="49" fillId="0" borderId="35" xfId="0" applyFont="1" applyFill="1" applyBorder="1" applyAlignment="1">
      <alignment horizontal="center" vertical="center" wrapText="1"/>
    </xf>
    <xf numFmtId="0" fontId="49" fillId="0" borderId="23" xfId="0" applyFont="1" applyFill="1" applyBorder="1" applyAlignment="1">
      <alignment horizontal="center" vertical="center" wrapText="1"/>
    </xf>
    <xf numFmtId="3" fontId="3" fillId="0" borderId="35" xfId="1" applyNumberFormat="1" applyFont="1" applyFill="1" applyBorder="1" applyAlignment="1">
      <alignment horizontal="center" vertical="center" wrapText="1"/>
    </xf>
    <xf numFmtId="3" fontId="3" fillId="0" borderId="23" xfId="1" applyNumberFormat="1" applyFont="1" applyFill="1" applyBorder="1" applyAlignment="1">
      <alignment horizontal="center" vertical="center" wrapText="1"/>
    </xf>
    <xf numFmtId="0" fontId="40" fillId="0" borderId="35" xfId="4" applyFont="1" applyFill="1" applyBorder="1" applyAlignment="1">
      <alignment horizontal="center" vertical="center" wrapText="1"/>
    </xf>
    <xf numFmtId="0" fontId="40" fillId="0" borderId="23" xfId="4" applyFont="1" applyFill="1" applyBorder="1" applyAlignment="1">
      <alignment horizontal="center" vertical="center" wrapText="1"/>
    </xf>
    <xf numFmtId="0" fontId="40" fillId="12" borderId="35" xfId="4" applyFont="1" applyFill="1" applyBorder="1" applyAlignment="1">
      <alignment horizontal="left" vertical="center" wrapText="1"/>
    </xf>
    <xf numFmtId="0" fontId="40" fillId="12" borderId="23" xfId="4" applyFont="1" applyFill="1" applyBorder="1" applyAlignment="1">
      <alignment horizontal="left" vertical="center" wrapText="1"/>
    </xf>
    <xf numFmtId="0" fontId="40" fillId="12" borderId="19" xfId="4" applyFont="1" applyFill="1" applyBorder="1" applyAlignment="1">
      <alignment horizontal="left" vertical="center" wrapText="1"/>
    </xf>
    <xf numFmtId="0" fontId="38" fillId="32" borderId="0" xfId="0" applyNumberFormat="1" applyFont="1" applyFill="1" applyBorder="1" applyAlignment="1" applyProtection="1">
      <alignment horizontal="center" vertical="top"/>
    </xf>
    <xf numFmtId="0" fontId="40" fillId="34" borderId="18" xfId="4" applyFont="1" applyFill="1" applyBorder="1" applyAlignment="1">
      <alignment horizontal="left" vertical="center" wrapText="1"/>
    </xf>
    <xf numFmtId="0" fontId="40" fillId="34" borderId="15" xfId="4" applyFont="1" applyFill="1" applyBorder="1" applyAlignment="1">
      <alignment horizontal="left" vertical="center" wrapText="1"/>
    </xf>
    <xf numFmtId="0" fontId="40" fillId="34" borderId="24" xfId="4" applyFont="1" applyFill="1" applyBorder="1" applyAlignment="1">
      <alignment horizontal="left" vertical="center" wrapText="1"/>
    </xf>
    <xf numFmtId="0" fontId="40" fillId="12" borderId="2" xfId="4" applyFont="1" applyFill="1" applyBorder="1" applyAlignment="1">
      <alignment horizontal="center" vertical="center" wrapText="1"/>
    </xf>
    <xf numFmtId="0" fontId="40" fillId="34" borderId="18" xfId="4" applyFont="1" applyFill="1" applyBorder="1" applyAlignment="1">
      <alignment horizontal="center" vertical="center" wrapText="1"/>
    </xf>
    <xf numFmtId="0" fontId="40" fillId="34" borderId="15" xfId="4" applyFont="1" applyFill="1" applyBorder="1" applyAlignment="1">
      <alignment horizontal="center" vertical="center" wrapText="1"/>
    </xf>
    <xf numFmtId="0" fontId="40" fillId="34" borderId="24" xfId="4" applyFont="1" applyFill="1" applyBorder="1" applyAlignment="1">
      <alignment horizontal="center" vertical="center" wrapText="1"/>
    </xf>
    <xf numFmtId="0" fontId="43" fillId="12" borderId="35" xfId="4" applyFont="1" applyFill="1" applyBorder="1" applyAlignment="1">
      <alignment horizontal="center" vertical="center" wrapText="1"/>
    </xf>
    <xf numFmtId="0" fontId="43" fillId="12" borderId="23" xfId="4" applyFont="1" applyFill="1" applyBorder="1" applyAlignment="1">
      <alignment horizontal="center" vertical="center" wrapText="1"/>
    </xf>
    <xf numFmtId="0" fontId="4" fillId="12"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Border="1" applyAlignment="1">
      <alignment horizontal="center" vertical="center"/>
    </xf>
    <xf numFmtId="0" fontId="3" fillId="12" borderId="36" xfId="0" applyFont="1" applyFill="1" applyBorder="1" applyAlignment="1">
      <alignment horizontal="left" vertical="center" wrapText="1"/>
    </xf>
    <xf numFmtId="0" fontId="3" fillId="12" borderId="26" xfId="0" applyFont="1" applyFill="1" applyBorder="1" applyAlignment="1">
      <alignment horizontal="left" vertical="center" wrapText="1"/>
    </xf>
    <xf numFmtId="0" fontId="3" fillId="12" borderId="35" xfId="4" applyFont="1" applyFill="1" applyBorder="1" applyAlignment="1">
      <alignment horizontal="left" vertical="center" wrapText="1"/>
    </xf>
    <xf numFmtId="0" fontId="3" fillId="12" borderId="23" xfId="4" applyFont="1" applyFill="1" applyBorder="1" applyAlignment="1">
      <alignment horizontal="left" vertical="center" wrapText="1"/>
    </xf>
    <xf numFmtId="3" fontId="3" fillId="12" borderId="35" xfId="1" applyNumberFormat="1" applyFont="1" applyFill="1" applyBorder="1" applyAlignment="1">
      <alignment horizontal="center" vertical="center" wrapText="1"/>
    </xf>
    <xf numFmtId="3" fontId="3" fillId="12" borderId="23" xfId="1" applyNumberFormat="1" applyFont="1" applyFill="1" applyBorder="1" applyAlignment="1">
      <alignment horizontal="center" vertical="center" wrapText="1"/>
    </xf>
    <xf numFmtId="14" fontId="0" fillId="0" borderId="35" xfId="0" applyNumberFormat="1" applyBorder="1" applyAlignment="1">
      <alignment horizontal="center"/>
    </xf>
    <xf numFmtId="14" fontId="0" fillId="0" borderId="23" xfId="0" applyNumberFormat="1" applyBorder="1" applyAlignment="1">
      <alignment horizontal="center"/>
    </xf>
    <xf numFmtId="14" fontId="0" fillId="0" borderId="2" xfId="0" applyNumberFormat="1" applyBorder="1" applyAlignment="1">
      <alignment horizontal="center"/>
    </xf>
    <xf numFmtId="3" fontId="32" fillId="12" borderId="35" xfId="1" applyNumberFormat="1" applyFont="1" applyFill="1" applyBorder="1" applyAlignment="1">
      <alignment horizontal="center" vertical="center" wrapText="1"/>
    </xf>
    <xf numFmtId="3" fontId="32" fillId="12" borderId="23" xfId="1" applyNumberFormat="1" applyFont="1" applyFill="1" applyBorder="1" applyAlignment="1">
      <alignment horizontal="center" vertical="center" wrapText="1"/>
    </xf>
    <xf numFmtId="3" fontId="0" fillId="0" borderId="35" xfId="0" applyNumberFormat="1" applyBorder="1" applyAlignment="1">
      <alignment horizontal="center"/>
    </xf>
    <xf numFmtId="0" fontId="0" fillId="0" borderId="23" xfId="0" applyBorder="1" applyAlignment="1">
      <alignment horizontal="center"/>
    </xf>
    <xf numFmtId="3" fontId="0" fillId="0" borderId="2" xfId="0" applyNumberFormat="1" applyBorder="1" applyAlignment="1">
      <alignment horizontal="center"/>
    </xf>
    <xf numFmtId="0" fontId="0" fillId="0" borderId="2" xfId="0" applyBorder="1" applyAlignment="1">
      <alignment horizontal="center"/>
    </xf>
    <xf numFmtId="3" fontId="0" fillId="0" borderId="35" xfId="0" applyNumberFormat="1" applyBorder="1" applyAlignment="1">
      <alignment horizontal="center" vertical="center"/>
    </xf>
    <xf numFmtId="3" fontId="0" fillId="0" borderId="19" xfId="0" applyNumberFormat="1" applyBorder="1" applyAlignment="1">
      <alignment horizontal="center" vertical="center"/>
    </xf>
    <xf numFmtId="3" fontId="0" fillId="0" borderId="23" xfId="0" applyNumberFormat="1" applyBorder="1" applyAlignment="1">
      <alignment horizontal="center" vertical="center"/>
    </xf>
    <xf numFmtId="14" fontId="32" fillId="12" borderId="35" xfId="1" applyNumberFormat="1" applyFont="1" applyFill="1" applyBorder="1" applyAlignment="1">
      <alignment horizontal="center" vertical="center" wrapText="1"/>
    </xf>
    <xf numFmtId="14" fontId="32" fillId="12" borderId="23" xfId="1" applyNumberFormat="1" applyFont="1" applyFill="1" applyBorder="1" applyAlignment="1">
      <alignment horizontal="center" vertical="center" wrapText="1"/>
    </xf>
    <xf numFmtId="3" fontId="4" fillId="21" borderId="45" xfId="0" applyNumberFormat="1" applyFont="1" applyFill="1" applyBorder="1" applyAlignment="1">
      <alignment horizontal="center" vertical="center" wrapText="1"/>
    </xf>
    <xf numFmtId="0" fontId="4" fillId="21" borderId="32" xfId="0" applyFont="1" applyFill="1" applyBorder="1" applyAlignment="1">
      <alignment horizontal="center" vertical="center" wrapText="1"/>
    </xf>
    <xf numFmtId="0" fontId="4" fillId="21" borderId="7" xfId="0" applyFont="1" applyFill="1" applyBorder="1" applyAlignment="1">
      <alignment horizontal="center" vertical="center" wrapText="1"/>
    </xf>
    <xf numFmtId="0" fontId="4" fillId="21" borderId="1" xfId="0" applyFont="1" applyFill="1" applyBorder="1" applyAlignment="1">
      <alignment horizontal="center" vertical="center" wrapText="1"/>
    </xf>
    <xf numFmtId="3" fontId="3" fillId="12" borderId="19" xfId="1" applyNumberFormat="1" applyFont="1" applyFill="1" applyBorder="1" applyAlignment="1">
      <alignment horizontal="center" vertical="center" wrapText="1"/>
    </xf>
    <xf numFmtId="0" fontId="3" fillId="7" borderId="35" xfId="4" applyFont="1" applyFill="1" applyBorder="1" applyAlignment="1">
      <alignment horizontal="left" vertical="center" wrapText="1"/>
    </xf>
    <xf numFmtId="0" fontId="3" fillId="7" borderId="23" xfId="4" applyFont="1" applyFill="1" applyBorder="1" applyAlignment="1">
      <alignment horizontal="left" vertical="center" wrapText="1"/>
    </xf>
    <xf numFmtId="0" fontId="4" fillId="5" borderId="45" xfId="0" applyFont="1" applyFill="1" applyBorder="1" applyAlignment="1">
      <alignment horizontal="center" vertical="center" wrapText="1"/>
    </xf>
    <xf numFmtId="0" fontId="4" fillId="5" borderId="32" xfId="0" applyFont="1" applyFill="1" applyBorder="1" applyAlignment="1">
      <alignment horizontal="center" vertical="center" wrapText="1"/>
    </xf>
    <xf numFmtId="167" fontId="4" fillId="21" borderId="2" xfId="1" applyNumberFormat="1" applyFont="1" applyFill="1" applyBorder="1" applyAlignment="1">
      <alignment horizontal="center" vertical="center" wrapText="1"/>
    </xf>
    <xf numFmtId="0" fontId="3" fillId="10" borderId="35" xfId="4" applyFont="1" applyFill="1" applyBorder="1" applyAlignment="1">
      <alignment horizontal="left" vertical="center" wrapText="1"/>
    </xf>
    <xf numFmtId="0" fontId="3" fillId="10" borderId="23" xfId="4" applyFont="1" applyFill="1" applyBorder="1" applyAlignment="1">
      <alignment horizontal="left" vertical="center" wrapText="1"/>
    </xf>
    <xf numFmtId="0" fontId="3" fillId="22" borderId="35" xfId="4" applyFont="1" applyFill="1" applyBorder="1" applyAlignment="1">
      <alignment horizontal="left" vertical="center" wrapText="1"/>
    </xf>
    <xf numFmtId="0" fontId="3" fillId="22" borderId="23" xfId="4" applyFont="1" applyFill="1" applyBorder="1" applyAlignment="1">
      <alignment horizontal="left" vertical="center" wrapText="1"/>
    </xf>
    <xf numFmtId="0" fontId="3" fillId="23" borderId="35" xfId="4" applyFont="1" applyFill="1" applyBorder="1" applyAlignment="1">
      <alignment horizontal="left" vertical="center" wrapText="1"/>
    </xf>
    <xf numFmtId="0" fontId="3" fillId="23" borderId="23" xfId="4" applyFont="1" applyFill="1" applyBorder="1" applyAlignment="1">
      <alignment horizontal="left" vertical="center" wrapText="1"/>
    </xf>
    <xf numFmtId="0" fontId="3" fillId="25" borderId="35" xfId="4" applyFont="1" applyFill="1" applyBorder="1" applyAlignment="1">
      <alignment horizontal="left" vertical="center" wrapText="1"/>
    </xf>
    <xf numFmtId="0" fontId="3" fillId="25" borderId="23" xfId="4" applyFont="1" applyFill="1" applyBorder="1" applyAlignment="1">
      <alignment horizontal="left" vertical="center" wrapText="1"/>
    </xf>
    <xf numFmtId="0" fontId="3" fillId="26" borderId="35" xfId="4" applyFont="1" applyFill="1" applyBorder="1" applyAlignment="1">
      <alignment horizontal="left" vertical="center" wrapText="1"/>
    </xf>
    <xf numFmtId="0" fontId="3" fillId="26" borderId="23" xfId="4" applyFont="1" applyFill="1" applyBorder="1" applyAlignment="1">
      <alignment horizontal="left" vertical="center" wrapText="1"/>
    </xf>
    <xf numFmtId="0" fontId="3" fillId="27" borderId="35" xfId="4" applyFont="1" applyFill="1" applyBorder="1" applyAlignment="1">
      <alignment horizontal="left" vertical="center" wrapText="1"/>
    </xf>
    <xf numFmtId="0" fontId="3" fillId="27" borderId="23" xfId="4" applyFont="1" applyFill="1" applyBorder="1" applyAlignment="1">
      <alignment horizontal="left" vertical="center" wrapText="1"/>
    </xf>
    <xf numFmtId="0" fontId="3" fillId="21" borderId="35" xfId="4" applyFont="1" applyFill="1" applyBorder="1" applyAlignment="1">
      <alignment horizontal="left" vertical="center" wrapText="1"/>
    </xf>
    <xf numFmtId="0" fontId="3" fillId="21" borderId="23" xfId="4" applyFont="1" applyFill="1" applyBorder="1" applyAlignment="1">
      <alignment horizontal="left" vertical="center" wrapText="1"/>
    </xf>
    <xf numFmtId="0" fontId="32" fillId="12" borderId="35" xfId="4" applyFont="1" applyFill="1" applyBorder="1" applyAlignment="1">
      <alignment horizontal="left" vertical="center" wrapText="1"/>
    </xf>
    <xf numFmtId="0" fontId="32" fillId="12" borderId="23" xfId="4" applyFont="1" applyFill="1" applyBorder="1" applyAlignment="1">
      <alignment horizontal="left" vertical="center" wrapText="1"/>
    </xf>
    <xf numFmtId="0" fontId="32" fillId="28" borderId="35" xfId="4" applyFont="1" applyFill="1" applyBorder="1" applyAlignment="1">
      <alignment horizontal="left" vertical="center" wrapText="1"/>
    </xf>
    <xf numFmtId="0" fontId="32" fillId="28" borderId="23" xfId="4" applyFont="1" applyFill="1" applyBorder="1" applyAlignment="1">
      <alignment horizontal="left" vertical="center" wrapText="1"/>
    </xf>
    <xf numFmtId="0" fontId="3" fillId="16" borderId="35" xfId="4" applyFont="1" applyFill="1" applyBorder="1" applyAlignment="1">
      <alignment horizontal="left" vertical="center" wrapText="1"/>
    </xf>
    <xf numFmtId="0" fontId="3" fillId="16" borderId="23" xfId="4" applyFont="1" applyFill="1" applyBorder="1" applyAlignment="1">
      <alignment horizontal="left" vertical="center" wrapText="1"/>
    </xf>
    <xf numFmtId="0" fontId="3" fillId="24" borderId="35" xfId="4" applyFont="1" applyFill="1" applyBorder="1" applyAlignment="1">
      <alignment horizontal="left" vertical="center" wrapText="1"/>
    </xf>
    <xf numFmtId="0" fontId="3" fillId="24" borderId="23" xfId="4" applyFont="1" applyFill="1" applyBorder="1" applyAlignment="1">
      <alignment horizontal="left" vertical="center" wrapText="1"/>
    </xf>
    <xf numFmtId="14" fontId="3" fillId="12" borderId="35" xfId="1" applyNumberFormat="1" applyFont="1" applyFill="1" applyBorder="1" applyAlignment="1">
      <alignment horizontal="center" vertical="center" wrapText="1"/>
    </xf>
    <xf numFmtId="14" fontId="3" fillId="12" borderId="19" xfId="1" applyNumberFormat="1" applyFont="1" applyFill="1" applyBorder="1" applyAlignment="1">
      <alignment horizontal="center" vertical="center" wrapText="1"/>
    </xf>
    <xf numFmtId="14" fontId="3" fillId="12" borderId="23" xfId="1" applyNumberFormat="1" applyFont="1" applyFill="1" applyBorder="1" applyAlignment="1">
      <alignment horizontal="center" vertical="center" wrapText="1"/>
    </xf>
    <xf numFmtId="14" fontId="0" fillId="0" borderId="35" xfId="0" applyNumberFormat="1" applyBorder="1" applyAlignment="1">
      <alignment horizontal="center" vertical="center"/>
    </xf>
    <xf numFmtId="14" fontId="0" fillId="0" borderId="19" xfId="0" applyNumberFormat="1" applyBorder="1" applyAlignment="1">
      <alignment horizontal="center" vertical="center"/>
    </xf>
    <xf numFmtId="14" fontId="0" fillId="0" borderId="23" xfId="0" applyNumberFormat="1" applyBorder="1" applyAlignment="1">
      <alignment horizontal="center" vertical="center"/>
    </xf>
    <xf numFmtId="14" fontId="4" fillId="21" borderId="45" xfId="0" applyNumberFormat="1" applyFont="1" applyFill="1" applyBorder="1" applyAlignment="1">
      <alignment horizontal="center" vertical="center" wrapText="1"/>
    </xf>
    <xf numFmtId="14" fontId="4" fillId="21" borderId="32" xfId="0" applyNumberFormat="1" applyFont="1" applyFill="1" applyBorder="1" applyAlignment="1">
      <alignment horizontal="center" vertical="center" wrapText="1"/>
    </xf>
    <xf numFmtId="14" fontId="0" fillId="0" borderId="19" xfId="0" applyNumberFormat="1" applyBorder="1" applyAlignment="1">
      <alignment horizontal="center"/>
    </xf>
    <xf numFmtId="0" fontId="53" fillId="37" borderId="0" xfId="0" applyFont="1" applyFill="1" applyAlignment="1">
      <alignment horizontal="left" vertical="center" wrapText="1"/>
    </xf>
  </cellXfs>
  <cellStyles count="18">
    <cellStyle name="Comma_Anexo Conciliacion Bancaria ENERO 2008" xfId="2"/>
    <cellStyle name="Millares" xfId="1" builtinId="3"/>
    <cellStyle name="Millares 2" xfId="10"/>
    <cellStyle name="Millares 3" xfId="12"/>
    <cellStyle name="Millares 4" xfId="13"/>
    <cellStyle name="Millares 6" xfId="7"/>
    <cellStyle name="Normal" xfId="0" builtinId="0"/>
    <cellStyle name="Normal 2" xfId="4"/>
    <cellStyle name="Normal 2 2 3" xfId="6"/>
    <cellStyle name="Normal 3" xfId="5"/>
    <cellStyle name="Normal 4" xfId="14"/>
    <cellStyle name="Normal 5" xfId="11"/>
    <cellStyle name="Normal 7" xfId="3"/>
    <cellStyle name="xls-style-2" xfId="8"/>
    <cellStyle name="xls-style-3" xfId="9"/>
    <cellStyle name="xls-style-4" xfId="15"/>
    <cellStyle name="xls-style-5" xfId="16"/>
    <cellStyle name="xls-style-7" xfId="17"/>
  </cellStyles>
  <dxfs count="18">
    <dxf>
      <fill>
        <patternFill patternType="lightUp">
          <bgColor theme="0" tint="-0.14993743705557422"/>
        </patternFill>
      </fill>
    </dxf>
    <dxf>
      <fill>
        <patternFill>
          <bgColor theme="0"/>
        </patternFill>
      </fill>
    </dxf>
    <dxf>
      <fill>
        <patternFill>
          <bgColor rgb="FF66FF33"/>
        </patternFill>
      </fill>
    </dxf>
    <dxf>
      <fill>
        <patternFill>
          <bgColor rgb="FFFFFF00"/>
        </patternFill>
      </fill>
    </dxf>
    <dxf>
      <fill>
        <patternFill>
          <bgColor rgb="FFFF0000"/>
        </patternFill>
      </fill>
    </dxf>
    <dxf>
      <font>
        <b/>
        <i val="0"/>
        <condense val="0"/>
        <extend val="0"/>
        <color indexed="12"/>
      </font>
      <fill>
        <patternFill>
          <bgColor indexed="11"/>
        </patternFill>
      </fill>
    </dxf>
    <dxf>
      <font>
        <b/>
        <i val="0"/>
        <condense val="0"/>
        <extend val="0"/>
        <color indexed="12"/>
      </font>
      <fill>
        <patternFill>
          <bgColor indexed="13"/>
        </patternFill>
      </fill>
    </dxf>
    <dxf>
      <font>
        <b/>
        <i val="0"/>
        <condense val="0"/>
        <extend val="0"/>
        <color indexed="9"/>
      </font>
      <fill>
        <patternFill>
          <bgColor indexed="10"/>
        </patternFill>
      </fill>
    </dxf>
    <dxf>
      <fill>
        <patternFill>
          <bgColor theme="0"/>
        </patternFill>
      </fill>
    </dxf>
    <dxf>
      <fill>
        <patternFill patternType="lightUp">
          <bgColor theme="0" tint="-0.14993743705557422"/>
        </patternFill>
      </fill>
    </dxf>
    <dxf>
      <fill>
        <patternFill>
          <bgColor theme="0"/>
        </patternFill>
      </fill>
    </dxf>
    <dxf>
      <fill>
        <patternFill>
          <bgColor rgb="FF66FF33"/>
        </patternFill>
      </fill>
    </dxf>
    <dxf>
      <fill>
        <patternFill>
          <bgColor rgb="FFFFFF00"/>
        </patternFill>
      </fill>
    </dxf>
    <dxf>
      <fill>
        <patternFill>
          <bgColor rgb="FFFF0000"/>
        </patternFill>
      </fill>
    </dxf>
    <dxf>
      <font>
        <b/>
        <i val="0"/>
        <condense val="0"/>
        <extend val="0"/>
        <color indexed="12"/>
      </font>
      <fill>
        <patternFill>
          <bgColor indexed="11"/>
        </patternFill>
      </fill>
    </dxf>
    <dxf>
      <font>
        <b/>
        <i val="0"/>
        <condense val="0"/>
        <extend val="0"/>
        <color indexed="12"/>
      </font>
      <fill>
        <patternFill>
          <bgColor indexed="13"/>
        </patternFill>
      </fill>
    </dxf>
    <dxf>
      <font>
        <b/>
        <i val="0"/>
        <condense val="0"/>
        <extend val="0"/>
        <color indexed="9"/>
      </font>
      <fill>
        <patternFill>
          <bgColor indexed="10"/>
        </patternFill>
      </fill>
    </dxf>
    <dxf>
      <fill>
        <patternFill>
          <bgColor theme="0"/>
        </patternFill>
      </fill>
    </dxf>
  </dxfs>
  <tableStyles count="0" defaultTableStyle="TableStyleMedium9" defaultPivotStyle="PivotStyleLight16"/>
  <colors>
    <mruColors>
      <color rgb="FFFFFF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180975</xdr:colOff>
      <xdr:row>15</xdr:row>
      <xdr:rowOff>38100</xdr:rowOff>
    </xdr:from>
    <xdr:to>
      <xdr:col>0</xdr:col>
      <xdr:colOff>276225</xdr:colOff>
      <xdr:row>15</xdr:row>
      <xdr:rowOff>133350</xdr:rowOff>
    </xdr:to>
    <xdr:sp macro="" textlink="">
      <xdr:nvSpPr>
        <xdr:cNvPr id="4121" name="Rectangle 1"/>
        <xdr:cNvSpPr>
          <a:spLocks noChangeArrowheads="1"/>
        </xdr:cNvSpPr>
      </xdr:nvSpPr>
      <xdr:spPr bwMode="auto">
        <a:xfrm>
          <a:off x="180975" y="2943225"/>
          <a:ext cx="95250" cy="95250"/>
        </a:xfrm>
        <a:prstGeom prst="rect">
          <a:avLst/>
        </a:prstGeom>
        <a:solidFill>
          <a:srgbClr val="FFFFFF"/>
        </a:solidFill>
        <a:ln w="9525">
          <a:solidFill>
            <a:srgbClr val="000000"/>
          </a:solidFill>
          <a:miter lim="800000"/>
          <a:headEnd/>
          <a:tailEnd/>
        </a:ln>
      </xdr:spPr>
    </xdr:sp>
    <xdr:clientData/>
  </xdr:twoCellAnchor>
  <xdr:twoCellAnchor>
    <xdr:from>
      <xdr:col>0</xdr:col>
      <xdr:colOff>180975</xdr:colOff>
      <xdr:row>17</xdr:row>
      <xdr:rowOff>19050</xdr:rowOff>
    </xdr:from>
    <xdr:to>
      <xdr:col>0</xdr:col>
      <xdr:colOff>276225</xdr:colOff>
      <xdr:row>17</xdr:row>
      <xdr:rowOff>114300</xdr:rowOff>
    </xdr:to>
    <xdr:sp macro="" textlink="">
      <xdr:nvSpPr>
        <xdr:cNvPr id="4122" name="Rectangle 2"/>
        <xdr:cNvSpPr>
          <a:spLocks noChangeArrowheads="1"/>
        </xdr:cNvSpPr>
      </xdr:nvSpPr>
      <xdr:spPr bwMode="auto">
        <a:xfrm>
          <a:off x="180975" y="3248025"/>
          <a:ext cx="95250" cy="95250"/>
        </a:xfrm>
        <a:prstGeom prst="rect">
          <a:avLst/>
        </a:prstGeom>
        <a:solidFill>
          <a:srgbClr val="FFFFFF"/>
        </a:solidFill>
        <a:ln w="9525">
          <a:solidFill>
            <a:srgbClr val="000000"/>
          </a:solidFill>
          <a:miter lim="800000"/>
          <a:headEnd/>
          <a:tailEnd/>
        </a:ln>
      </xdr:spPr>
    </xdr:sp>
    <xdr:clientData/>
  </xdr:twoCellAnchor>
  <xdr:twoCellAnchor>
    <xdr:from>
      <xdr:col>2</xdr:col>
      <xdr:colOff>323850</xdr:colOff>
      <xdr:row>16</xdr:row>
      <xdr:rowOff>38100</xdr:rowOff>
    </xdr:from>
    <xdr:to>
      <xdr:col>2</xdr:col>
      <xdr:colOff>419100</xdr:colOff>
      <xdr:row>16</xdr:row>
      <xdr:rowOff>133350</xdr:rowOff>
    </xdr:to>
    <xdr:sp macro="" textlink="">
      <xdr:nvSpPr>
        <xdr:cNvPr id="4123" name="Rectangle 3"/>
        <xdr:cNvSpPr>
          <a:spLocks noChangeArrowheads="1"/>
        </xdr:cNvSpPr>
      </xdr:nvSpPr>
      <xdr:spPr bwMode="auto">
        <a:xfrm>
          <a:off x="3086100" y="3105150"/>
          <a:ext cx="95250" cy="95250"/>
        </a:xfrm>
        <a:prstGeom prst="rect">
          <a:avLst/>
        </a:prstGeom>
        <a:solidFill>
          <a:srgbClr val="FFFFFF"/>
        </a:solidFill>
        <a:ln w="9525">
          <a:solidFill>
            <a:srgbClr val="000000"/>
          </a:solidFill>
          <a:miter lim="800000"/>
          <a:headEnd/>
          <a:tailEnd/>
        </a:ln>
      </xdr:spPr>
    </xdr:sp>
    <xdr:clientData/>
  </xdr:twoCellAnchor>
  <xdr:twoCellAnchor>
    <xdr:from>
      <xdr:col>0</xdr:col>
      <xdr:colOff>180975</xdr:colOff>
      <xdr:row>16</xdr:row>
      <xdr:rowOff>28575</xdr:rowOff>
    </xdr:from>
    <xdr:to>
      <xdr:col>0</xdr:col>
      <xdr:colOff>276225</xdr:colOff>
      <xdr:row>16</xdr:row>
      <xdr:rowOff>123825</xdr:rowOff>
    </xdr:to>
    <xdr:sp macro="" textlink="">
      <xdr:nvSpPr>
        <xdr:cNvPr id="4124" name="Rectangle 4"/>
        <xdr:cNvSpPr>
          <a:spLocks noChangeArrowheads="1"/>
        </xdr:cNvSpPr>
      </xdr:nvSpPr>
      <xdr:spPr bwMode="auto">
        <a:xfrm>
          <a:off x="180975" y="3095625"/>
          <a:ext cx="95250" cy="95250"/>
        </a:xfrm>
        <a:prstGeom prst="rect">
          <a:avLst/>
        </a:prstGeom>
        <a:solidFill>
          <a:srgbClr val="FFFFFF"/>
        </a:solidFill>
        <a:ln w="9525">
          <a:solidFill>
            <a:srgbClr val="000000"/>
          </a:solidFill>
          <a:miter lim="800000"/>
          <a:headEnd/>
          <a:tailEnd/>
        </a:ln>
      </xdr:spPr>
    </xdr:sp>
    <xdr:clientData/>
  </xdr:twoCellAnchor>
  <xdr:twoCellAnchor>
    <xdr:from>
      <xdr:col>0</xdr:col>
      <xdr:colOff>180975</xdr:colOff>
      <xdr:row>18</xdr:row>
      <xdr:rowOff>28575</xdr:rowOff>
    </xdr:from>
    <xdr:to>
      <xdr:col>0</xdr:col>
      <xdr:colOff>276225</xdr:colOff>
      <xdr:row>18</xdr:row>
      <xdr:rowOff>123825</xdr:rowOff>
    </xdr:to>
    <xdr:sp macro="" textlink="">
      <xdr:nvSpPr>
        <xdr:cNvPr id="4125" name="Rectangle 5"/>
        <xdr:cNvSpPr>
          <a:spLocks noChangeArrowheads="1"/>
        </xdr:cNvSpPr>
      </xdr:nvSpPr>
      <xdr:spPr bwMode="auto">
        <a:xfrm>
          <a:off x="180975" y="3419475"/>
          <a:ext cx="95250" cy="95250"/>
        </a:xfrm>
        <a:prstGeom prst="rect">
          <a:avLst/>
        </a:prstGeom>
        <a:noFill/>
        <a:ln w="9525">
          <a:solidFill>
            <a:srgbClr val="000000"/>
          </a:solidFill>
          <a:miter lim="800000"/>
          <a:headEnd/>
          <a:tailEnd/>
        </a:ln>
      </xdr:spPr>
    </xdr:sp>
    <xdr:clientData/>
  </xdr:twoCellAnchor>
  <xdr:oneCellAnchor>
    <xdr:from>
      <xdr:col>0</xdr:col>
      <xdr:colOff>457200</xdr:colOff>
      <xdr:row>2</xdr:row>
      <xdr:rowOff>76200</xdr:rowOff>
    </xdr:from>
    <xdr:ext cx="65" cy="392207"/>
    <xdr:sp macro="" textlink="">
      <xdr:nvSpPr>
        <xdr:cNvPr id="4102" name="Rectangle 6"/>
        <xdr:cNvSpPr>
          <a:spLocks noChangeArrowheads="1"/>
        </xdr:cNvSpPr>
      </xdr:nvSpPr>
      <xdr:spPr bwMode="auto">
        <a:xfrm>
          <a:off x="457200" y="447675"/>
          <a:ext cx="65" cy="353943"/>
        </a:xfrm>
        <a:prstGeom prst="rect">
          <a:avLst/>
        </a:prstGeom>
        <a:noFill/>
        <a:ln w="0">
          <a:noFill/>
          <a:miter lim="800000"/>
          <a:headEnd/>
          <a:tailEnd/>
        </a:ln>
        <a:effectLst/>
      </xdr:spPr>
      <xdr:txBody>
        <a:bodyPr wrap="none" lIns="0" tIns="0" rIns="0" bIns="0" anchor="t" upright="1">
          <a:spAutoFit/>
        </a:bodyPr>
        <a:lstStyle/>
        <a:p>
          <a:pPr algn="l" rtl="0">
            <a:defRPr sz="1000"/>
          </a:pPr>
          <a:endParaRPr lang="es-CO" sz="1200" b="0" i="0" strike="noStrike">
            <a:solidFill>
              <a:srgbClr val="000000"/>
            </a:solidFill>
            <a:latin typeface="Times New Roman"/>
            <a:cs typeface="Times New Roman"/>
          </a:endParaRPr>
        </a:p>
        <a:p>
          <a:pPr algn="l" rtl="0">
            <a:defRPr sz="1000"/>
          </a:pPr>
          <a:endParaRPr lang="es-CO" sz="1200" b="0" i="0" strike="noStrike">
            <a:solidFill>
              <a:srgbClr val="000000"/>
            </a:solidFill>
            <a:latin typeface="Times New Roman"/>
            <a:cs typeface="Times New Roman"/>
          </a:endParaRPr>
        </a:p>
      </xdr:txBody>
    </xdr:sp>
    <xdr:clientData/>
  </xdr:oneCellAnchor>
  <xdr:oneCellAnchor>
    <xdr:from>
      <xdr:col>0</xdr:col>
      <xdr:colOff>457200</xdr:colOff>
      <xdr:row>1</xdr:row>
      <xdr:rowOff>76200</xdr:rowOff>
    </xdr:from>
    <xdr:ext cx="65" cy="392429"/>
    <xdr:sp macro="" textlink="">
      <xdr:nvSpPr>
        <xdr:cNvPr id="4103" name="Rectangle 7"/>
        <xdr:cNvSpPr>
          <a:spLocks noChangeArrowheads="1"/>
        </xdr:cNvSpPr>
      </xdr:nvSpPr>
      <xdr:spPr bwMode="auto">
        <a:xfrm>
          <a:off x="457200" y="247650"/>
          <a:ext cx="65" cy="353943"/>
        </a:xfrm>
        <a:prstGeom prst="rect">
          <a:avLst/>
        </a:prstGeom>
        <a:noFill/>
        <a:ln w="0">
          <a:noFill/>
          <a:miter lim="800000"/>
          <a:headEnd/>
          <a:tailEnd/>
        </a:ln>
        <a:effectLst/>
      </xdr:spPr>
      <xdr:txBody>
        <a:bodyPr wrap="none" lIns="0" tIns="0" rIns="0" bIns="0" anchor="t" upright="1">
          <a:spAutoFit/>
        </a:bodyPr>
        <a:lstStyle/>
        <a:p>
          <a:pPr algn="l" rtl="0">
            <a:defRPr sz="1000"/>
          </a:pPr>
          <a:endParaRPr lang="es-CO" sz="1200" b="0" i="0" strike="noStrike">
            <a:solidFill>
              <a:srgbClr val="000000"/>
            </a:solidFill>
            <a:latin typeface="Times New Roman"/>
            <a:cs typeface="Times New Roman"/>
          </a:endParaRPr>
        </a:p>
        <a:p>
          <a:pPr algn="l" rtl="0">
            <a:defRPr sz="1000"/>
          </a:pPr>
          <a:endParaRPr lang="es-CO" sz="1200" b="0" i="0" strike="noStrike">
            <a:solidFill>
              <a:srgbClr val="000000"/>
            </a:solidFill>
            <a:latin typeface="Times New Roman"/>
            <a:cs typeface="Times New Roman"/>
          </a:endParaRPr>
        </a:p>
      </xdr:txBody>
    </xdr:sp>
    <xdr:clientData/>
  </xdr:oneCellAnchor>
  <xdr:twoCellAnchor>
    <xdr:from>
      <xdr:col>0</xdr:col>
      <xdr:colOff>190500</xdr:colOff>
      <xdr:row>1</xdr:row>
      <xdr:rowOff>171450</xdr:rowOff>
    </xdr:from>
    <xdr:to>
      <xdr:col>0</xdr:col>
      <xdr:colOff>676275</xdr:colOff>
      <xdr:row>5</xdr:row>
      <xdr:rowOff>0</xdr:rowOff>
    </xdr:to>
    <xdr:pic>
      <xdr:nvPicPr>
        <xdr:cNvPr id="4128" name="Picture 8"/>
        <xdr:cNvPicPr>
          <a:picLocks noChangeAspect="1" noChangeArrowheads="1"/>
        </xdr:cNvPicPr>
      </xdr:nvPicPr>
      <xdr:blipFill>
        <a:blip xmlns:r="http://schemas.openxmlformats.org/officeDocument/2006/relationships" r:embed="rId1" cstate="print"/>
        <a:srcRect l="6842" t="7697" r="56776" b="10516"/>
        <a:stretch>
          <a:fillRect/>
        </a:stretch>
      </xdr:blipFill>
      <xdr:spPr bwMode="auto">
        <a:xfrm>
          <a:off x="190500" y="371475"/>
          <a:ext cx="485775" cy="552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0</xdr:row>
      <xdr:rowOff>161925</xdr:rowOff>
    </xdr:to>
    <xdr:sp macro="" textlink="">
      <xdr:nvSpPr>
        <xdr:cNvPr id="3100" name="Rectangle 1"/>
        <xdr:cNvSpPr>
          <a:spLocks noChangeArrowheads="1"/>
        </xdr:cNvSpPr>
      </xdr:nvSpPr>
      <xdr:spPr bwMode="auto">
        <a:xfrm>
          <a:off x="0" y="0"/>
          <a:ext cx="0" cy="161925"/>
        </a:xfrm>
        <a:prstGeom prst="rect">
          <a:avLst/>
        </a:prstGeom>
        <a:noFill/>
        <a:ln w="0">
          <a:noFill/>
          <a:miter lim="800000"/>
          <a:headEnd/>
          <a:tailEnd/>
        </a:ln>
      </xdr:spPr>
    </xdr:sp>
    <xdr:clientData/>
  </xdr:twoCellAnchor>
  <xdr:twoCellAnchor>
    <xdr:from>
      <xdr:col>0</xdr:col>
      <xdr:colOff>180975</xdr:colOff>
      <xdr:row>0</xdr:row>
      <xdr:rowOff>0</xdr:rowOff>
    </xdr:from>
    <xdr:to>
      <xdr:col>0</xdr:col>
      <xdr:colOff>276225</xdr:colOff>
      <xdr:row>0</xdr:row>
      <xdr:rowOff>0</xdr:rowOff>
    </xdr:to>
    <xdr:sp macro="" textlink="">
      <xdr:nvSpPr>
        <xdr:cNvPr id="3101" name="Rectangle 2"/>
        <xdr:cNvSpPr>
          <a:spLocks noChangeArrowheads="1"/>
        </xdr:cNvSpPr>
      </xdr:nvSpPr>
      <xdr:spPr bwMode="auto">
        <a:xfrm>
          <a:off x="180975" y="0"/>
          <a:ext cx="95250" cy="0"/>
        </a:xfrm>
        <a:prstGeom prst="rect">
          <a:avLst/>
        </a:prstGeom>
        <a:solidFill>
          <a:srgbClr val="FFFFFF"/>
        </a:solidFill>
        <a:ln w="9525">
          <a:solidFill>
            <a:srgbClr val="000000"/>
          </a:solidFill>
          <a:miter lim="800000"/>
          <a:headEnd/>
          <a:tailEnd/>
        </a:ln>
      </xdr:spPr>
    </xdr:sp>
    <xdr:clientData/>
  </xdr:twoCellAnchor>
  <xdr:twoCellAnchor>
    <xdr:from>
      <xdr:col>0</xdr:col>
      <xdr:colOff>180975</xdr:colOff>
      <xdr:row>0</xdr:row>
      <xdr:rowOff>0</xdr:rowOff>
    </xdr:from>
    <xdr:to>
      <xdr:col>0</xdr:col>
      <xdr:colOff>276225</xdr:colOff>
      <xdr:row>0</xdr:row>
      <xdr:rowOff>0</xdr:rowOff>
    </xdr:to>
    <xdr:sp macro="" textlink="">
      <xdr:nvSpPr>
        <xdr:cNvPr id="3102" name="Rectangle 3"/>
        <xdr:cNvSpPr>
          <a:spLocks noChangeArrowheads="1"/>
        </xdr:cNvSpPr>
      </xdr:nvSpPr>
      <xdr:spPr bwMode="auto">
        <a:xfrm>
          <a:off x="180975" y="0"/>
          <a:ext cx="95250" cy="0"/>
        </a:xfrm>
        <a:prstGeom prst="rect">
          <a:avLst/>
        </a:prstGeom>
        <a:solidFill>
          <a:srgbClr val="FFFFFF"/>
        </a:solidFill>
        <a:ln w="9525">
          <a:solidFill>
            <a:srgbClr val="000000"/>
          </a:solidFill>
          <a:miter lim="800000"/>
          <a:headEnd/>
          <a:tailEnd/>
        </a:ln>
      </xdr:spPr>
    </xdr:sp>
    <xdr:clientData/>
  </xdr:twoCellAnchor>
  <xdr:twoCellAnchor>
    <xdr:from>
      <xdr:col>3</xdr:col>
      <xdr:colOff>323850</xdr:colOff>
      <xdr:row>0</xdr:row>
      <xdr:rowOff>0</xdr:rowOff>
    </xdr:from>
    <xdr:to>
      <xdr:col>3</xdr:col>
      <xdr:colOff>419100</xdr:colOff>
      <xdr:row>0</xdr:row>
      <xdr:rowOff>0</xdr:rowOff>
    </xdr:to>
    <xdr:sp macro="" textlink="">
      <xdr:nvSpPr>
        <xdr:cNvPr id="3103" name="Rectangle 4"/>
        <xdr:cNvSpPr>
          <a:spLocks noChangeArrowheads="1"/>
        </xdr:cNvSpPr>
      </xdr:nvSpPr>
      <xdr:spPr bwMode="auto">
        <a:xfrm>
          <a:off x="3219450" y="0"/>
          <a:ext cx="95250" cy="0"/>
        </a:xfrm>
        <a:prstGeom prst="rect">
          <a:avLst/>
        </a:prstGeom>
        <a:solidFill>
          <a:srgbClr val="FFFFFF"/>
        </a:solidFill>
        <a:ln w="9525">
          <a:solidFill>
            <a:srgbClr val="000000"/>
          </a:solidFill>
          <a:miter lim="800000"/>
          <a:headEnd/>
          <a:tailEnd/>
        </a:ln>
      </xdr:spPr>
    </xdr:sp>
    <xdr:clientData/>
  </xdr:twoCellAnchor>
  <xdr:twoCellAnchor>
    <xdr:from>
      <xdr:col>0</xdr:col>
      <xdr:colOff>180975</xdr:colOff>
      <xdr:row>0</xdr:row>
      <xdr:rowOff>0</xdr:rowOff>
    </xdr:from>
    <xdr:to>
      <xdr:col>0</xdr:col>
      <xdr:colOff>276225</xdr:colOff>
      <xdr:row>0</xdr:row>
      <xdr:rowOff>0</xdr:rowOff>
    </xdr:to>
    <xdr:sp macro="" textlink="">
      <xdr:nvSpPr>
        <xdr:cNvPr id="3104" name="Rectangle 5"/>
        <xdr:cNvSpPr>
          <a:spLocks noChangeArrowheads="1"/>
        </xdr:cNvSpPr>
      </xdr:nvSpPr>
      <xdr:spPr bwMode="auto">
        <a:xfrm>
          <a:off x="180975" y="0"/>
          <a:ext cx="95250" cy="0"/>
        </a:xfrm>
        <a:prstGeom prst="rect">
          <a:avLst/>
        </a:prstGeom>
        <a:solidFill>
          <a:srgbClr val="FFFFFF"/>
        </a:solidFill>
        <a:ln w="9525">
          <a:solidFill>
            <a:srgbClr val="000000"/>
          </a:solidFill>
          <a:miter lim="800000"/>
          <a:headEnd/>
          <a:tailEnd/>
        </a:ln>
      </xdr:spPr>
    </xdr:sp>
    <xdr:clientData/>
  </xdr:twoCellAnchor>
  <xdr:twoCellAnchor>
    <xdr:from>
      <xdr:col>0</xdr:col>
      <xdr:colOff>180975</xdr:colOff>
      <xdr:row>0</xdr:row>
      <xdr:rowOff>0</xdr:rowOff>
    </xdr:from>
    <xdr:to>
      <xdr:col>0</xdr:col>
      <xdr:colOff>276225</xdr:colOff>
      <xdr:row>0</xdr:row>
      <xdr:rowOff>0</xdr:rowOff>
    </xdr:to>
    <xdr:sp macro="" textlink="">
      <xdr:nvSpPr>
        <xdr:cNvPr id="3105" name="Rectangle 6"/>
        <xdr:cNvSpPr>
          <a:spLocks noChangeArrowheads="1"/>
        </xdr:cNvSpPr>
      </xdr:nvSpPr>
      <xdr:spPr bwMode="auto">
        <a:xfrm>
          <a:off x="180975" y="0"/>
          <a:ext cx="95250" cy="0"/>
        </a:xfrm>
        <a:prstGeom prst="rect">
          <a:avLst/>
        </a:prstGeom>
        <a:solidFill>
          <a:srgbClr val="FFFFFF"/>
        </a:solidFill>
        <a:ln w="9525">
          <a:solidFill>
            <a:srgbClr val="000000"/>
          </a:solidFill>
          <a:miter lim="800000"/>
          <a:headEnd/>
          <a:tailEnd/>
        </a:ln>
      </xdr:spPr>
    </xdr:sp>
    <xdr:clientData/>
  </xdr:twoCellAnchor>
  <xdr:oneCellAnchor>
    <xdr:from>
      <xdr:col>0</xdr:col>
      <xdr:colOff>457200</xdr:colOff>
      <xdr:row>0</xdr:row>
      <xdr:rowOff>0</xdr:rowOff>
    </xdr:from>
    <xdr:ext cx="65" cy="411572"/>
    <xdr:sp macro="" textlink="">
      <xdr:nvSpPr>
        <xdr:cNvPr id="3079" name="Rectangle 7"/>
        <xdr:cNvSpPr>
          <a:spLocks noChangeArrowheads="1"/>
        </xdr:cNvSpPr>
      </xdr:nvSpPr>
      <xdr:spPr bwMode="auto">
        <a:xfrm>
          <a:off x="457200" y="0"/>
          <a:ext cx="65" cy="353943"/>
        </a:xfrm>
        <a:prstGeom prst="rect">
          <a:avLst/>
        </a:prstGeom>
        <a:noFill/>
        <a:ln w="0">
          <a:noFill/>
          <a:miter lim="800000"/>
          <a:headEnd/>
          <a:tailEnd/>
        </a:ln>
        <a:effectLst/>
      </xdr:spPr>
      <xdr:txBody>
        <a:bodyPr wrap="none" lIns="0" tIns="0" rIns="0" bIns="0" anchor="t" upright="1">
          <a:spAutoFit/>
        </a:bodyPr>
        <a:lstStyle/>
        <a:p>
          <a:pPr algn="l" rtl="0">
            <a:defRPr sz="1000"/>
          </a:pPr>
          <a:endParaRPr lang="es-CO" sz="1200" b="0" i="0" strike="noStrike">
            <a:solidFill>
              <a:srgbClr val="000000"/>
            </a:solidFill>
            <a:latin typeface="Times New Roman"/>
            <a:cs typeface="Times New Roman"/>
          </a:endParaRPr>
        </a:p>
        <a:p>
          <a:pPr algn="l" rtl="0">
            <a:defRPr sz="1000"/>
          </a:pPr>
          <a:endParaRPr lang="es-CO" sz="1200" b="0" i="0" strike="noStrike">
            <a:solidFill>
              <a:srgbClr val="000000"/>
            </a:solidFill>
            <a:latin typeface="Times New Roman"/>
            <a:cs typeface="Times New Roman"/>
          </a:endParaRPr>
        </a:p>
      </xdr:txBody>
    </xdr:sp>
    <xdr:clientData/>
  </xdr:oneCellAnchor>
  <xdr:oneCellAnchor>
    <xdr:from>
      <xdr:col>0</xdr:col>
      <xdr:colOff>457200</xdr:colOff>
      <xdr:row>0</xdr:row>
      <xdr:rowOff>0</xdr:rowOff>
    </xdr:from>
    <xdr:ext cx="65" cy="411572"/>
    <xdr:sp macro="" textlink="">
      <xdr:nvSpPr>
        <xdr:cNvPr id="3080" name="Rectangle 8"/>
        <xdr:cNvSpPr>
          <a:spLocks noChangeArrowheads="1"/>
        </xdr:cNvSpPr>
      </xdr:nvSpPr>
      <xdr:spPr bwMode="auto">
        <a:xfrm>
          <a:off x="457200" y="0"/>
          <a:ext cx="65" cy="353943"/>
        </a:xfrm>
        <a:prstGeom prst="rect">
          <a:avLst/>
        </a:prstGeom>
        <a:noFill/>
        <a:ln w="0">
          <a:noFill/>
          <a:miter lim="800000"/>
          <a:headEnd/>
          <a:tailEnd/>
        </a:ln>
        <a:effectLst/>
      </xdr:spPr>
      <xdr:txBody>
        <a:bodyPr wrap="none" lIns="0" tIns="0" rIns="0" bIns="0" anchor="t" upright="1">
          <a:spAutoFit/>
        </a:bodyPr>
        <a:lstStyle/>
        <a:p>
          <a:pPr algn="l" rtl="0">
            <a:defRPr sz="1000"/>
          </a:pPr>
          <a:endParaRPr lang="es-CO" sz="1200" b="0" i="0" strike="noStrike">
            <a:solidFill>
              <a:srgbClr val="000000"/>
            </a:solidFill>
            <a:latin typeface="Times New Roman"/>
            <a:cs typeface="Times New Roman"/>
          </a:endParaRPr>
        </a:p>
        <a:p>
          <a:pPr algn="l" rtl="0">
            <a:defRPr sz="1000"/>
          </a:pPr>
          <a:endParaRPr lang="es-CO" sz="1200" b="0" i="0" strike="noStrike">
            <a:solidFill>
              <a:srgbClr val="000000"/>
            </a:solidFill>
            <a:latin typeface="Times New Roman"/>
            <a:cs typeface="Times New Roman"/>
          </a:endParaRPr>
        </a:p>
      </xdr:txBody>
    </xdr:sp>
    <xdr:clientData/>
  </xdr:oneCellAnchor>
  <xdr:twoCellAnchor>
    <xdr:from>
      <xdr:col>0</xdr:col>
      <xdr:colOff>190500</xdr:colOff>
      <xdr:row>0</xdr:row>
      <xdr:rowOff>0</xdr:rowOff>
    </xdr:from>
    <xdr:to>
      <xdr:col>0</xdr:col>
      <xdr:colOff>676275</xdr:colOff>
      <xdr:row>0</xdr:row>
      <xdr:rowOff>0</xdr:rowOff>
    </xdr:to>
    <xdr:pic>
      <xdr:nvPicPr>
        <xdr:cNvPr id="3108" name="Picture 9"/>
        <xdr:cNvPicPr>
          <a:picLocks noChangeAspect="1" noChangeArrowheads="1"/>
        </xdr:cNvPicPr>
      </xdr:nvPicPr>
      <xdr:blipFill>
        <a:blip xmlns:r="http://schemas.openxmlformats.org/officeDocument/2006/relationships" r:embed="rId1"/>
        <a:srcRect l="6842" t="7697" r="56776" b="10516"/>
        <a:stretch>
          <a:fillRect/>
        </a:stretch>
      </xdr:blipFill>
      <xdr:spPr bwMode="auto">
        <a:xfrm>
          <a:off x="190500" y="0"/>
          <a:ext cx="485775" cy="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7.104.26\Documents%20and%20Settings\TEODORON\Local%20Settings\Temporary%20Internet%20Files\Content.Outlook\K2JWR7MW\GRP%20EMP%202120OC-CO%20-%20SEP%20201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F"/>
      <sheetName val="MER"/>
      <sheetName val="MMR"/>
      <sheetName val="Settings"/>
    </sheetNames>
    <sheetDataSet>
      <sheetData sheetId="0">
        <row r="8">
          <cell r="C8" t="str">
            <v>I</v>
          </cell>
          <cell r="D8" t="str">
            <v>Desarrollo</v>
          </cell>
          <cell r="E8" t="str">
            <v xml:space="preserve">Que la entidad se vea sometida a procesos judiciales y/o administrativos </v>
          </cell>
        </row>
        <row r="12">
          <cell r="C12" t="str">
            <v>I y II</v>
          </cell>
          <cell r="D12" t="str">
            <v>Desarrollo</v>
          </cell>
          <cell r="E12" t="str">
            <v>Sobrecostos de las obras</v>
          </cell>
        </row>
        <row r="19">
          <cell r="C19" t="str">
            <v>II</v>
          </cell>
          <cell r="D19" t="str">
            <v>Desarrollo</v>
          </cell>
          <cell r="E19" t="str">
            <v>Retrasos/ paro de ejecución del interceptor</v>
          </cell>
        </row>
        <row r="26">
          <cell r="C26" t="str">
            <v>I y II</v>
          </cell>
          <cell r="D26" t="str">
            <v>Fiduciarios</v>
          </cell>
          <cell r="E26" t="str">
            <v>Retrasos en las contrataciones /adquisiciones</v>
          </cell>
        </row>
        <row r="31">
          <cell r="C31" t="str">
            <v>I y II</v>
          </cell>
          <cell r="D31" t="str">
            <v>Ambientales y Sociales</v>
          </cell>
          <cell r="E31" t="str">
            <v>No se logren los objetivos de calidad del proyecto</v>
          </cell>
        </row>
        <row r="35">
          <cell r="C35" t="str">
            <v>I y II</v>
          </cell>
          <cell r="D35" t="str">
            <v>Ambientales y Sociales</v>
          </cell>
          <cell r="E35" t="str">
            <v>Impacto en el medio ambiente por problemas en el proceso de construcción</v>
          </cell>
        </row>
        <row r="40">
          <cell r="C40" t="str">
            <v>III</v>
          </cell>
          <cell r="D40" t="str">
            <v>Gobernabilidad</v>
          </cell>
          <cell r="E40" t="str">
            <v>Retraso en la implementación de la NIIF</v>
          </cell>
        </row>
        <row r="44">
          <cell r="C44" t="str">
            <v>I</v>
          </cell>
          <cell r="D44" t="str">
            <v>Desarrollo</v>
          </cell>
          <cell r="E44" t="str">
            <v>Retrasos/ paro de ejecución de la PTAR</v>
          </cell>
        </row>
      </sheetData>
      <sheetData sheetId="1">
        <row r="15">
          <cell r="I15">
            <v>2</v>
          </cell>
          <cell r="J15" t="str">
            <v>Medio</v>
          </cell>
        </row>
        <row r="16">
          <cell r="I16">
            <v>1</v>
          </cell>
          <cell r="J16" t="str">
            <v>Bajo</v>
          </cell>
        </row>
        <row r="17">
          <cell r="I17">
            <v>2</v>
          </cell>
          <cell r="J17" t="str">
            <v>Medio</v>
          </cell>
        </row>
        <row r="18">
          <cell r="I18">
            <v>2</v>
          </cell>
          <cell r="J18" t="str">
            <v>Medio</v>
          </cell>
        </row>
        <row r="21">
          <cell r="I21">
            <v>2</v>
          </cell>
          <cell r="J21" t="str">
            <v>Medio</v>
          </cell>
        </row>
        <row r="22">
          <cell r="I22">
            <v>2</v>
          </cell>
          <cell r="J22" t="str">
            <v>Medio</v>
          </cell>
        </row>
        <row r="23">
          <cell r="I23">
            <v>1</v>
          </cell>
          <cell r="J23" t="str">
            <v>Bajo</v>
          </cell>
        </row>
        <row r="25">
          <cell r="I25">
            <v>2</v>
          </cell>
          <cell r="J25" t="str">
            <v>Medio</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2.bin"/><Relationship Id="rId7" Type="http://schemas.openxmlformats.org/officeDocument/2006/relationships/printerSettings" Target="../printerSettings/printerSettings36.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printerSettings" Target="../printerSettings/printerSettings35.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52"/>
  <sheetViews>
    <sheetView zoomScale="75" zoomScaleNormal="75" workbookViewId="0">
      <pane xSplit="3" ySplit="5" topLeftCell="E7" activePane="bottomRight" state="frozen"/>
      <selection pane="topRight" activeCell="D1" sqref="D1"/>
      <selection pane="bottomLeft" activeCell="A6" sqref="A6"/>
      <selection pane="bottomRight" activeCell="AI1" sqref="AI1:AI1048576"/>
    </sheetView>
  </sheetViews>
  <sheetFormatPr baseColWidth="10" defaultColWidth="9.140625" defaultRowHeight="12.75" x14ac:dyDescent="0.2"/>
  <cols>
    <col min="1" max="1" width="9.42578125" style="43" customWidth="1"/>
    <col min="2" max="2" width="46.85546875" style="43" customWidth="1"/>
    <col min="3" max="3" width="17.42578125" style="43" customWidth="1"/>
    <col min="4" max="4" width="15.28515625" style="43" customWidth="1"/>
    <col min="5" max="5" width="15.7109375" style="43" customWidth="1"/>
    <col min="6" max="8" width="12.7109375" style="43" customWidth="1"/>
    <col min="9" max="9" width="17.7109375" style="43" hidden="1" customWidth="1"/>
    <col min="10" max="10" width="12.7109375" style="43" hidden="1" customWidth="1"/>
    <col min="11" max="11" width="9.28515625" style="43" hidden="1" customWidth="1"/>
    <col min="12" max="12" width="15" style="43" hidden="1" customWidth="1"/>
    <col min="13" max="13" width="12.85546875" style="43" hidden="1" customWidth="1"/>
    <col min="14" max="14" width="11.140625" style="43" hidden="1" customWidth="1"/>
    <col min="15" max="15" width="12.42578125" style="43" hidden="1" customWidth="1"/>
    <col min="16" max="16" width="10.42578125" style="43" hidden="1" customWidth="1"/>
    <col min="17" max="17" width="10.28515625" style="43" hidden="1" customWidth="1"/>
    <col min="18" max="18" width="12" style="43" hidden="1" customWidth="1"/>
    <col min="19" max="22" width="11.42578125" style="43" hidden="1" customWidth="1"/>
    <col min="23" max="23" width="11.28515625" style="43" hidden="1" customWidth="1"/>
    <col min="24" max="25" width="11.42578125" style="43" hidden="1" customWidth="1"/>
    <col min="26" max="26" width="10.28515625" style="43" hidden="1" customWidth="1"/>
    <col min="27" max="27" width="11.42578125" style="43" hidden="1" customWidth="1"/>
    <col min="28" max="30" width="10.140625" style="43" hidden="1" customWidth="1"/>
    <col min="31" max="31" width="11.28515625" style="43" hidden="1" customWidth="1"/>
    <col min="32" max="32" width="14.28515625" style="43" customWidth="1"/>
    <col min="33" max="33" width="13.42578125" style="43" customWidth="1"/>
    <col min="34" max="34" width="11.5703125" style="43" customWidth="1"/>
    <col min="35" max="16384" width="9.140625" style="43"/>
  </cols>
  <sheetData>
    <row r="1" spans="1:34" x14ac:dyDescent="0.2">
      <c r="A1" s="50"/>
      <c r="B1" s="331" t="s">
        <v>87</v>
      </c>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row>
    <row r="2" spans="1:34" x14ac:dyDescent="0.2">
      <c r="A2" s="50"/>
      <c r="B2" s="50"/>
      <c r="C2" s="51"/>
      <c r="D2" s="51"/>
      <c r="E2" s="51"/>
      <c r="F2" s="51"/>
      <c r="G2" s="51"/>
      <c r="H2" s="51"/>
      <c r="I2" s="51"/>
      <c r="J2" s="51"/>
      <c r="K2" s="50"/>
      <c r="L2" s="50"/>
      <c r="M2" s="50"/>
      <c r="N2" s="50"/>
      <c r="O2" s="50"/>
      <c r="P2" s="50"/>
      <c r="Q2" s="50"/>
      <c r="R2" s="50"/>
      <c r="S2" s="50"/>
      <c r="T2" s="50"/>
      <c r="U2" s="50"/>
      <c r="V2" s="50"/>
      <c r="W2" s="50"/>
      <c r="X2" s="50"/>
      <c r="Y2" s="50"/>
      <c r="Z2" s="50"/>
      <c r="AA2" s="50"/>
      <c r="AB2" s="50"/>
      <c r="AC2" s="50"/>
      <c r="AD2" s="52"/>
    </row>
    <row r="3" spans="1:34" ht="39" customHeight="1" x14ac:dyDescent="0.2">
      <c r="A3" s="50"/>
      <c r="B3" s="72" t="e">
        <f>+#REF!</f>
        <v>#REF!</v>
      </c>
      <c r="C3" s="51"/>
      <c r="D3" s="51"/>
      <c r="E3" s="51"/>
      <c r="F3" s="51"/>
      <c r="G3" s="51"/>
      <c r="H3" s="51"/>
      <c r="I3" s="51"/>
      <c r="J3" s="51"/>
      <c r="K3" s="50"/>
      <c r="L3" s="50"/>
      <c r="M3" s="50"/>
      <c r="N3" s="50"/>
      <c r="O3" s="50"/>
      <c r="P3" s="50"/>
      <c r="Q3" s="50"/>
      <c r="R3" s="50"/>
      <c r="S3" s="50"/>
      <c r="T3" s="50"/>
      <c r="U3" s="50"/>
      <c r="V3" s="50"/>
      <c r="W3" s="50"/>
      <c r="X3" s="50"/>
      <c r="Y3" s="50"/>
      <c r="Z3" s="50"/>
      <c r="AA3" s="50"/>
      <c r="AB3" s="50"/>
      <c r="AC3" s="50"/>
      <c r="AD3" s="52"/>
    </row>
    <row r="4" spans="1:34" x14ac:dyDescent="0.2">
      <c r="A4" s="50"/>
      <c r="B4" s="72" t="e">
        <f>+#REF!</f>
        <v>#REF!</v>
      </c>
      <c r="C4" s="51"/>
      <c r="D4" s="51"/>
      <c r="E4" s="51"/>
      <c r="F4" s="51"/>
      <c r="G4" s="51"/>
      <c r="H4" s="51"/>
      <c r="I4" s="51"/>
      <c r="J4" s="51"/>
      <c r="K4" s="50"/>
      <c r="L4" s="50"/>
      <c r="M4" s="50"/>
      <c r="N4" s="50"/>
      <c r="O4" s="50"/>
      <c r="P4" s="50"/>
      <c r="Q4" s="50"/>
      <c r="R4" s="50"/>
      <c r="S4" s="50"/>
      <c r="T4" s="50"/>
      <c r="U4" s="50"/>
      <c r="V4" s="50"/>
      <c r="W4" s="50"/>
      <c r="X4" s="50"/>
      <c r="Y4" s="50"/>
      <c r="Z4" s="50"/>
      <c r="AA4" s="50"/>
      <c r="AB4" s="50"/>
      <c r="AC4" s="50"/>
      <c r="AD4" s="52"/>
    </row>
    <row r="5" spans="1:34" ht="51" customHeight="1" x14ac:dyDescent="0.2">
      <c r="A5" s="53"/>
      <c r="B5" s="54"/>
      <c r="C5" s="332" t="s">
        <v>296</v>
      </c>
      <c r="D5" s="333"/>
      <c r="E5" s="334" t="s">
        <v>82</v>
      </c>
      <c r="F5" s="334"/>
      <c r="G5" s="334"/>
      <c r="H5" s="334"/>
      <c r="I5" s="102"/>
      <c r="J5" s="102"/>
      <c r="K5" s="335" t="s">
        <v>81</v>
      </c>
      <c r="L5" s="335"/>
      <c r="M5" s="335"/>
      <c r="N5" s="335"/>
      <c r="O5" s="335"/>
      <c r="P5" s="335"/>
      <c r="Q5" s="335"/>
      <c r="R5" s="335"/>
      <c r="S5" s="335"/>
      <c r="T5" s="335"/>
      <c r="U5" s="335"/>
      <c r="V5" s="335"/>
      <c r="W5" s="335"/>
      <c r="X5" s="335"/>
      <c r="Y5" s="335"/>
      <c r="Z5" s="335"/>
      <c r="AA5" s="335"/>
      <c r="AB5" s="335"/>
      <c r="AC5" s="335"/>
      <c r="AD5" s="335"/>
      <c r="AE5" s="335"/>
    </row>
    <row r="6" spans="1:34" ht="51" x14ac:dyDescent="0.2">
      <c r="A6" s="55"/>
      <c r="B6" s="56"/>
      <c r="C6" s="103" t="s">
        <v>86</v>
      </c>
      <c r="D6" s="103" t="s">
        <v>69</v>
      </c>
      <c r="E6" s="104" t="s">
        <v>83</v>
      </c>
      <c r="F6" s="104" t="s">
        <v>84</v>
      </c>
      <c r="G6" s="104" t="s">
        <v>85</v>
      </c>
      <c r="H6" s="104" t="s">
        <v>56</v>
      </c>
      <c r="I6" s="105" t="s">
        <v>106</v>
      </c>
      <c r="J6" s="105" t="s">
        <v>105</v>
      </c>
      <c r="K6" s="106">
        <v>41122</v>
      </c>
      <c r="L6" s="107" t="s">
        <v>152</v>
      </c>
      <c r="M6" s="106">
        <v>41183</v>
      </c>
      <c r="N6" s="106">
        <v>41214</v>
      </c>
      <c r="O6" s="106">
        <v>41244</v>
      </c>
      <c r="P6" s="106">
        <v>41275</v>
      </c>
      <c r="Q6" s="106">
        <v>41306</v>
      </c>
      <c r="R6" s="106">
        <v>41334</v>
      </c>
      <c r="S6" s="106">
        <v>41365</v>
      </c>
      <c r="T6" s="106">
        <v>41395</v>
      </c>
      <c r="U6" s="106">
        <v>41426</v>
      </c>
      <c r="V6" s="106">
        <v>41456</v>
      </c>
      <c r="W6" s="106">
        <v>41487</v>
      </c>
      <c r="X6" s="106">
        <v>41518</v>
      </c>
      <c r="Y6" s="106">
        <v>41548</v>
      </c>
      <c r="Z6" s="106">
        <v>41579</v>
      </c>
      <c r="AA6" s="106">
        <v>41609</v>
      </c>
      <c r="AB6" s="107" t="s">
        <v>164</v>
      </c>
      <c r="AC6" s="107" t="s">
        <v>165</v>
      </c>
      <c r="AD6" s="107" t="s">
        <v>166</v>
      </c>
      <c r="AE6" s="107" t="s">
        <v>80</v>
      </c>
      <c r="AF6" s="107" t="s">
        <v>184</v>
      </c>
    </row>
    <row r="7" spans="1:34" ht="25.5" x14ac:dyDescent="0.2">
      <c r="A7" s="101">
        <v>1</v>
      </c>
      <c r="B7" s="57" t="s">
        <v>107</v>
      </c>
      <c r="C7" s="82">
        <f t="shared" ref="C7:H7" si="0">+C8+C26+C47+C63</f>
        <v>3122644.8000000003</v>
      </c>
      <c r="D7" s="82">
        <f t="shared" si="0"/>
        <v>972732.92645107256</v>
      </c>
      <c r="E7" s="82">
        <f t="shared" si="0"/>
        <v>852333.07000000007</v>
      </c>
      <c r="F7" s="82">
        <f t="shared" si="0"/>
        <v>0</v>
      </c>
      <c r="G7" s="82">
        <f t="shared" si="0"/>
        <v>852333.07000000007</v>
      </c>
      <c r="H7" s="82">
        <f t="shared" si="0"/>
        <v>3069020.8564510727</v>
      </c>
      <c r="I7" s="82"/>
      <c r="J7" s="82"/>
      <c r="K7" s="91"/>
      <c r="L7" s="91"/>
      <c r="M7" s="91"/>
      <c r="N7" s="91"/>
      <c r="O7" s="91"/>
      <c r="P7" s="91"/>
      <c r="Q7" s="91"/>
      <c r="R7" s="91"/>
      <c r="S7" s="91"/>
      <c r="T7" s="91"/>
      <c r="U7" s="91"/>
      <c r="V7" s="91"/>
      <c r="W7" s="91"/>
      <c r="X7" s="91"/>
      <c r="Y7" s="91"/>
      <c r="Z7" s="91"/>
      <c r="AA7" s="91"/>
      <c r="AB7" s="82">
        <f>+AB8+AB26+AB47+AB63</f>
        <v>337365.97362839343</v>
      </c>
      <c r="AC7" s="82">
        <f>+AC8+AC26+AC47+AC63</f>
        <v>515032.20163982204</v>
      </c>
      <c r="AD7" s="82">
        <f>+AD8+AD26+AD47+AD63</f>
        <v>220850</v>
      </c>
      <c r="AE7" s="82">
        <f>+AE8+AE26+AE47+AE63</f>
        <v>1073248.1752682156</v>
      </c>
      <c r="AF7" s="82">
        <f>+AF8+AF26+AF47+AF63</f>
        <v>2310059.2000000002</v>
      </c>
    </row>
    <row r="8" spans="1:34" ht="16.5" customHeight="1" x14ac:dyDescent="0.2">
      <c r="A8" s="85" t="s">
        <v>153</v>
      </c>
      <c r="B8" s="58" t="s">
        <v>108</v>
      </c>
      <c r="C8" s="74">
        <f>+C9+C11+C16-C24-C25</f>
        <v>300000</v>
      </c>
      <c r="D8" s="74">
        <f t="shared" ref="D8:H8" si="1">+D9+D11+D16-D24-D25</f>
        <v>68268.786971428533</v>
      </c>
      <c r="E8" s="74">
        <f t="shared" si="1"/>
        <v>93124.760000000009</v>
      </c>
      <c r="F8" s="74">
        <f t="shared" si="1"/>
        <v>0</v>
      </c>
      <c r="G8" s="74">
        <f t="shared" si="1"/>
        <v>93124.760000000009</v>
      </c>
      <c r="H8" s="74">
        <f t="shared" si="1"/>
        <v>468666.02697142854</v>
      </c>
      <c r="I8" s="74"/>
      <c r="J8" s="74"/>
      <c r="K8" s="74"/>
      <c r="L8" s="74"/>
      <c r="M8" s="74"/>
      <c r="N8" s="74"/>
      <c r="O8" s="74"/>
      <c r="P8" s="74"/>
      <c r="Q8" s="74"/>
      <c r="R8" s="74"/>
      <c r="S8" s="80"/>
      <c r="T8" s="80"/>
      <c r="U8" s="80"/>
      <c r="V8" s="80"/>
      <c r="W8" s="80"/>
      <c r="X8" s="80"/>
      <c r="Y8" s="80"/>
      <c r="Z8" s="80"/>
      <c r="AA8" s="80"/>
      <c r="AB8" s="74">
        <f>+AB9+AB11+AB16</f>
        <v>51231.314788571413</v>
      </c>
      <c r="AC8" s="74">
        <f>+AC9+AC11+AC16</f>
        <v>5040</v>
      </c>
      <c r="AD8" s="74">
        <f>+AD9+AD11+AD16</f>
        <v>24300</v>
      </c>
      <c r="AE8" s="74">
        <f>+AE9+AE11+AE16</f>
        <v>80571.314788571413</v>
      </c>
      <c r="AF8" s="74">
        <f>+AF9+AF11+AF16-AF24-AF25</f>
        <v>45999.999999999985</v>
      </c>
    </row>
    <row r="9" spans="1:34" ht="25.5" x14ac:dyDescent="0.2">
      <c r="A9" s="86" t="s">
        <v>71</v>
      </c>
      <c r="B9" s="59" t="s">
        <v>109</v>
      </c>
      <c r="C9" s="76">
        <f>+C10</f>
        <v>101100</v>
      </c>
      <c r="D9" s="76">
        <f t="shared" ref="D9:H9" si="2">+D10</f>
        <v>0</v>
      </c>
      <c r="E9" s="76">
        <f t="shared" si="2"/>
        <v>0</v>
      </c>
      <c r="F9" s="76">
        <f t="shared" si="2"/>
        <v>0</v>
      </c>
      <c r="G9" s="76">
        <f t="shared" si="2"/>
        <v>0</v>
      </c>
      <c r="H9" s="76">
        <f t="shared" si="2"/>
        <v>101100</v>
      </c>
      <c r="I9" s="76"/>
      <c r="J9" s="76"/>
      <c r="K9" s="76"/>
      <c r="L9" s="76"/>
      <c r="M9" s="76"/>
      <c r="N9" s="76"/>
      <c r="O9" s="76"/>
      <c r="P9" s="76"/>
      <c r="Q9" s="76"/>
      <c r="R9" s="76"/>
      <c r="S9" s="76"/>
      <c r="T9" s="76"/>
      <c r="U9" s="76"/>
      <c r="V9" s="76"/>
      <c r="W9" s="76"/>
      <c r="X9" s="76"/>
      <c r="Y9" s="76"/>
      <c r="Z9" s="76"/>
      <c r="AA9" s="76"/>
      <c r="AB9" s="76">
        <f t="shared" ref="AB9" si="3">+AB10</f>
        <v>0</v>
      </c>
      <c r="AC9" s="76">
        <f>+AC10</f>
        <v>0</v>
      </c>
      <c r="AD9" s="76">
        <f t="shared" ref="AD9:AE9" si="4">+AD10</f>
        <v>0</v>
      </c>
      <c r="AE9" s="76">
        <f t="shared" si="4"/>
        <v>0</v>
      </c>
      <c r="AF9" s="76">
        <f>+AF10</f>
        <v>10110</v>
      </c>
      <c r="AH9" s="110"/>
    </row>
    <row r="10" spans="1:34" s="125" customFormat="1" x14ac:dyDescent="0.2">
      <c r="A10" s="119"/>
      <c r="B10" s="120" t="s">
        <v>191</v>
      </c>
      <c r="C10" s="121">
        <v>101100</v>
      </c>
      <c r="D10" s="121">
        <v>0</v>
      </c>
      <c r="E10" s="122">
        <v>0</v>
      </c>
      <c r="F10" s="122">
        <v>0</v>
      </c>
      <c r="G10" s="122">
        <f>+F10+E10</f>
        <v>0</v>
      </c>
      <c r="H10" s="122">
        <f>+C10-G10</f>
        <v>101100</v>
      </c>
      <c r="I10" s="122"/>
      <c r="J10" s="122"/>
      <c r="K10" s="123"/>
      <c r="L10" s="123"/>
      <c r="M10" s="123"/>
      <c r="N10" s="123"/>
      <c r="O10" s="123"/>
      <c r="P10" s="123"/>
      <c r="Q10" s="123"/>
      <c r="R10" s="123"/>
      <c r="S10" s="123"/>
      <c r="T10" s="123"/>
      <c r="U10" s="123"/>
      <c r="V10" s="123"/>
      <c r="W10" s="123"/>
      <c r="X10" s="123"/>
      <c r="Y10" s="123"/>
      <c r="Z10" s="123"/>
      <c r="AA10" s="123"/>
      <c r="AB10" s="123">
        <f>SUM(K10:O10)</f>
        <v>0</v>
      </c>
      <c r="AC10" s="123">
        <f>SUM(P10:U10)</f>
        <v>0</v>
      </c>
      <c r="AD10" s="123">
        <f>SUM(V10:AA10)</f>
        <v>0</v>
      </c>
      <c r="AE10" s="123">
        <f>+AB10+AC10+AD10</f>
        <v>0</v>
      </c>
      <c r="AF10" s="124">
        <v>10110</v>
      </c>
    </row>
    <row r="11" spans="1:34" x14ac:dyDescent="0.2">
      <c r="A11" s="86" t="s">
        <v>72</v>
      </c>
      <c r="B11" s="59" t="s">
        <v>110</v>
      </c>
      <c r="C11" s="76">
        <f>SUM(C12:C15)</f>
        <v>167600</v>
      </c>
      <c r="D11" s="76">
        <f t="shared" ref="D11:H11" si="5">SUM(D12:D15)</f>
        <v>0</v>
      </c>
      <c r="E11" s="76">
        <f t="shared" si="5"/>
        <v>0</v>
      </c>
      <c r="F11" s="76">
        <f t="shared" si="5"/>
        <v>0</v>
      </c>
      <c r="G11" s="76">
        <f t="shared" si="5"/>
        <v>0</v>
      </c>
      <c r="H11" s="76">
        <f t="shared" si="5"/>
        <v>167600</v>
      </c>
      <c r="I11" s="76"/>
      <c r="J11" s="76"/>
      <c r="K11" s="76"/>
      <c r="L11" s="76"/>
      <c r="M11" s="76"/>
      <c r="N11" s="76"/>
      <c r="O11" s="76"/>
      <c r="P11" s="76"/>
      <c r="Q11" s="76"/>
      <c r="R11" s="76"/>
      <c r="S11" s="76"/>
      <c r="T11" s="76"/>
      <c r="U11" s="76"/>
      <c r="V11" s="76"/>
      <c r="W11" s="76"/>
      <c r="X11" s="76"/>
      <c r="Y11" s="76"/>
      <c r="Z11" s="76"/>
      <c r="AA11" s="76"/>
      <c r="AB11" s="76">
        <f>+AB12+AB13+AB15+AB14</f>
        <v>7560</v>
      </c>
      <c r="AC11" s="76">
        <f>+AC12+AC13+AC15+AC14</f>
        <v>5040</v>
      </c>
      <c r="AD11" s="76">
        <f>+AD12+AD13+AD15+AD14</f>
        <v>24300</v>
      </c>
      <c r="AE11" s="76">
        <f>+AE12+AE13+AE15+AE14</f>
        <v>36900</v>
      </c>
      <c r="AF11" s="76">
        <f>SUM(AF12:AF15)</f>
        <v>8526</v>
      </c>
    </row>
    <row r="12" spans="1:34" ht="25.5" x14ac:dyDescent="0.2">
      <c r="A12" s="87"/>
      <c r="B12" s="92" t="s">
        <v>171</v>
      </c>
      <c r="C12" s="93">
        <v>12600</v>
      </c>
      <c r="D12" s="93">
        <v>0</v>
      </c>
      <c r="E12" s="77">
        <v>0</v>
      </c>
      <c r="F12" s="77">
        <v>0</v>
      </c>
      <c r="G12" s="77">
        <f>+E12+F12</f>
        <v>0</v>
      </c>
      <c r="H12" s="77">
        <f>+C12-G12</f>
        <v>12600</v>
      </c>
      <c r="I12" s="77" t="s">
        <v>172</v>
      </c>
      <c r="J12" s="77" t="s">
        <v>173</v>
      </c>
      <c r="K12" s="81"/>
      <c r="L12" s="81">
        <f>20%*C12</f>
        <v>2520</v>
      </c>
      <c r="M12" s="81"/>
      <c r="N12" s="81"/>
      <c r="O12" s="81">
        <f>40%*C12</f>
        <v>5040</v>
      </c>
      <c r="P12" s="81"/>
      <c r="Q12" s="75">
        <f>40%*C12</f>
        <v>5040</v>
      </c>
      <c r="R12" s="75"/>
      <c r="S12" s="75"/>
      <c r="T12" s="75"/>
      <c r="U12" s="75"/>
      <c r="V12" s="75"/>
      <c r="W12" s="75"/>
      <c r="X12" s="75"/>
      <c r="Y12" s="75"/>
      <c r="Z12" s="75"/>
      <c r="AA12" s="75"/>
      <c r="AB12" s="75">
        <f>SUM(K12:O12)</f>
        <v>7560</v>
      </c>
      <c r="AC12" s="75">
        <f>SUM(P12:U12)</f>
        <v>5040</v>
      </c>
      <c r="AD12" s="75">
        <f>SUM(V12:AA12)</f>
        <v>0</v>
      </c>
      <c r="AE12" s="75">
        <f>+AB12+AC12+AD12</f>
        <v>12600</v>
      </c>
      <c r="AF12" s="94">
        <v>1400</v>
      </c>
    </row>
    <row r="13" spans="1:34" ht="38.25" x14ac:dyDescent="0.2">
      <c r="A13" s="87"/>
      <c r="B13" s="92" t="s">
        <v>168</v>
      </c>
      <c r="C13" s="93">
        <f>45000-4500</f>
        <v>40500</v>
      </c>
      <c r="D13" s="93">
        <v>0</v>
      </c>
      <c r="E13" s="77">
        <v>0</v>
      </c>
      <c r="F13" s="77">
        <v>0</v>
      </c>
      <c r="G13" s="77">
        <f>+E13+F13</f>
        <v>0</v>
      </c>
      <c r="H13" s="77">
        <f>+C13-G13</f>
        <v>40500</v>
      </c>
      <c r="I13" s="77" t="s">
        <v>169</v>
      </c>
      <c r="J13" s="77" t="s">
        <v>170</v>
      </c>
      <c r="K13" s="75"/>
      <c r="L13" s="75"/>
      <c r="M13" s="108"/>
      <c r="N13" s="108"/>
      <c r="O13" s="108"/>
      <c r="P13" s="79"/>
      <c r="Q13" s="79"/>
      <c r="R13" s="79"/>
      <c r="S13" s="79"/>
      <c r="T13" s="79"/>
      <c r="U13" s="79"/>
      <c r="V13" s="81"/>
      <c r="W13" s="81">
        <f>20%*C13</f>
        <v>8100</v>
      </c>
      <c r="X13" s="81"/>
      <c r="Y13" s="81"/>
      <c r="Z13" s="81"/>
      <c r="AA13" s="81">
        <f>40%*C13</f>
        <v>16200</v>
      </c>
      <c r="AB13" s="75">
        <f>SUM(K13:O13)</f>
        <v>0</v>
      </c>
      <c r="AC13" s="75">
        <f>SUM(P13:U13)</f>
        <v>0</v>
      </c>
      <c r="AD13" s="75">
        <f>SUM(V13:AA13)</f>
        <v>24300</v>
      </c>
      <c r="AE13" s="75">
        <f>+AB13+AC13+AD13</f>
        <v>24300</v>
      </c>
      <c r="AF13" s="94">
        <v>4500</v>
      </c>
    </row>
    <row r="14" spans="1:34" ht="25.5" x14ac:dyDescent="0.2">
      <c r="A14" s="87"/>
      <c r="B14" s="92" t="s">
        <v>194</v>
      </c>
      <c r="C14" s="93">
        <f>25000-2500</f>
        <v>22500</v>
      </c>
      <c r="D14" s="93">
        <v>0</v>
      </c>
      <c r="E14" s="77">
        <v>0</v>
      </c>
      <c r="F14" s="77">
        <v>0</v>
      </c>
      <c r="G14" s="77">
        <f>+E14+F14</f>
        <v>0</v>
      </c>
      <c r="H14" s="77">
        <f>+C14-G14</f>
        <v>22500</v>
      </c>
      <c r="I14" s="77" t="s">
        <v>195</v>
      </c>
      <c r="J14" s="77" t="s">
        <v>176</v>
      </c>
      <c r="K14" s="75"/>
      <c r="L14" s="75"/>
      <c r="M14" s="75"/>
      <c r="N14" s="75"/>
      <c r="O14" s="75"/>
      <c r="P14" s="75"/>
      <c r="Q14" s="75"/>
      <c r="R14" s="75"/>
      <c r="S14" s="75"/>
      <c r="T14" s="75"/>
      <c r="U14" s="75"/>
      <c r="V14" s="75"/>
      <c r="W14" s="75"/>
      <c r="X14" s="108"/>
      <c r="Y14" s="108"/>
      <c r="Z14" s="108"/>
      <c r="AA14" s="79"/>
      <c r="AB14" s="75">
        <f>SUM(K14:O14)</f>
        <v>0</v>
      </c>
      <c r="AC14" s="75">
        <f>SUM(P14:U14)</f>
        <v>0</v>
      </c>
      <c r="AD14" s="75">
        <f>SUM(V14:AA14)</f>
        <v>0</v>
      </c>
      <c r="AE14" s="75">
        <f>+AB14+AC14+AD14</f>
        <v>0</v>
      </c>
      <c r="AF14" s="94">
        <v>2500</v>
      </c>
    </row>
    <row r="15" spans="1:34" s="125" customFormat="1" x14ac:dyDescent="0.2">
      <c r="A15" s="119"/>
      <c r="B15" s="120" t="s">
        <v>191</v>
      </c>
      <c r="C15" s="126">
        <f>72000+42500-22500</f>
        <v>92000</v>
      </c>
      <c r="D15" s="123">
        <v>0</v>
      </c>
      <c r="E15" s="122">
        <v>0</v>
      </c>
      <c r="F15" s="122">
        <v>0</v>
      </c>
      <c r="G15" s="122">
        <f>+E15+F15</f>
        <v>0</v>
      </c>
      <c r="H15" s="122">
        <f>+C15-G15</f>
        <v>92000</v>
      </c>
      <c r="I15" s="122"/>
      <c r="J15" s="122"/>
      <c r="K15" s="123"/>
      <c r="L15" s="123"/>
      <c r="M15" s="123"/>
      <c r="N15" s="123"/>
      <c r="O15" s="123"/>
      <c r="P15" s="123"/>
      <c r="Q15" s="123"/>
      <c r="R15" s="123"/>
      <c r="S15" s="123"/>
      <c r="T15" s="123"/>
      <c r="U15" s="123"/>
      <c r="V15" s="123"/>
      <c r="W15" s="123"/>
      <c r="X15" s="123"/>
      <c r="Y15" s="123"/>
      <c r="Z15" s="123"/>
      <c r="AA15" s="123"/>
      <c r="AB15" s="123">
        <f>SUM(K15:O15)</f>
        <v>0</v>
      </c>
      <c r="AC15" s="123">
        <f>SUM(P15:U15)</f>
        <v>0</v>
      </c>
      <c r="AD15" s="123">
        <f>SUM(V15:AA15)</f>
        <v>0</v>
      </c>
      <c r="AE15" s="123">
        <f>+AB15+AC15+AD15</f>
        <v>0</v>
      </c>
      <c r="AF15" s="126">
        <f>2626-2500</f>
        <v>126</v>
      </c>
    </row>
    <row r="16" spans="1:34" ht="51" x14ac:dyDescent="0.2">
      <c r="A16" s="86" t="s">
        <v>141</v>
      </c>
      <c r="B16" s="59" t="s">
        <v>111</v>
      </c>
      <c r="C16" s="76">
        <f>SUM(C17:C23)</f>
        <v>292300</v>
      </c>
      <c r="D16" s="76">
        <f>SUM(D17:D23)</f>
        <v>68268.786971428533</v>
      </c>
      <c r="E16" s="76">
        <f>SUM(E17:E23)</f>
        <v>93124.760000000009</v>
      </c>
      <c r="F16" s="76">
        <f t="shared" ref="F16" si="6">SUM(F17:F23)</f>
        <v>0</v>
      </c>
      <c r="G16" s="76">
        <f>SUM(G17:G23)</f>
        <v>93124.760000000009</v>
      </c>
      <c r="H16" s="76">
        <f>SUM(H17:H23)</f>
        <v>199966.02697142854</v>
      </c>
      <c r="I16" s="76"/>
      <c r="J16" s="76"/>
      <c r="K16" s="76"/>
      <c r="L16" s="76"/>
      <c r="M16" s="76"/>
      <c r="N16" s="76"/>
      <c r="O16" s="76"/>
      <c r="P16" s="76"/>
      <c r="Q16" s="76"/>
      <c r="R16" s="76"/>
      <c r="S16" s="76"/>
      <c r="T16" s="76"/>
      <c r="U16" s="76"/>
      <c r="V16" s="76"/>
      <c r="W16" s="76"/>
      <c r="X16" s="76"/>
      <c r="Y16" s="76"/>
      <c r="Z16" s="76"/>
      <c r="AA16" s="76"/>
      <c r="AB16" s="76">
        <f t="shared" ref="AB16:AD16" si="7">+AB17+AB18+AB19+AB20+AB21+AB22+AB23</f>
        <v>43671.314788571413</v>
      </c>
      <c r="AC16" s="76">
        <f t="shared" si="7"/>
        <v>0</v>
      </c>
      <c r="AD16" s="76">
        <f t="shared" si="7"/>
        <v>0</v>
      </c>
      <c r="AE16" s="76">
        <f>+AE17+AE18+AE19+AE20+AE21+AE22+AE23</f>
        <v>43671.314788571413</v>
      </c>
      <c r="AF16" s="76">
        <f>+AF17+AF18+AF19+AF21+AF22+AF23</f>
        <v>56364.000000000029</v>
      </c>
    </row>
    <row r="17" spans="1:32" ht="51" x14ac:dyDescent="0.2">
      <c r="A17" s="87"/>
      <c r="B17" s="92" t="s">
        <v>179</v>
      </c>
      <c r="C17" s="93">
        <v>45000</v>
      </c>
      <c r="D17" s="93">
        <v>27273</v>
      </c>
      <c r="E17" s="77">
        <v>0</v>
      </c>
      <c r="F17" s="77">
        <v>0</v>
      </c>
      <c r="G17" s="77">
        <f>+E17+F17</f>
        <v>0</v>
      </c>
      <c r="H17" s="77">
        <f>+D17-G17</f>
        <v>27273</v>
      </c>
      <c r="I17" s="77" t="s">
        <v>177</v>
      </c>
      <c r="J17" s="77" t="s">
        <v>176</v>
      </c>
      <c r="K17" s="81"/>
      <c r="L17" s="81">
        <f>20%*D17</f>
        <v>5454.6</v>
      </c>
      <c r="M17" s="81"/>
      <c r="N17" s="81">
        <f>30%*D17</f>
        <v>8181.9</v>
      </c>
      <c r="O17" s="75">
        <f>50%*D17</f>
        <v>13636.5</v>
      </c>
      <c r="P17" s="75"/>
      <c r="Q17" s="75"/>
      <c r="R17" s="75"/>
      <c r="S17" s="75"/>
      <c r="T17" s="75"/>
      <c r="U17" s="75"/>
      <c r="V17" s="75"/>
      <c r="W17" s="75"/>
      <c r="X17" s="75"/>
      <c r="Y17" s="75"/>
      <c r="Z17" s="75"/>
      <c r="AA17" s="75"/>
      <c r="AB17" s="75">
        <f>SUM(K17:O17)</f>
        <v>27273</v>
      </c>
      <c r="AC17" s="75">
        <f>SUM(P17:U17)</f>
        <v>0</v>
      </c>
      <c r="AD17" s="75">
        <f>SUM(V17:AA17)</f>
        <v>0</v>
      </c>
      <c r="AE17" s="75">
        <f>+AB17+AC17+AD17</f>
        <v>27273</v>
      </c>
      <c r="AF17" s="94">
        <v>5000</v>
      </c>
    </row>
    <row r="18" spans="1:32" ht="25.5" x14ac:dyDescent="0.2">
      <c r="A18" s="87"/>
      <c r="B18" s="92" t="s">
        <v>183</v>
      </c>
      <c r="C18" s="93">
        <f>70000*0.456228571428571</f>
        <v>31935.999999999967</v>
      </c>
      <c r="D18" s="93">
        <f>89858*0.456228571428571</f>
        <v>40995.786971428533</v>
      </c>
      <c r="E18" s="77">
        <v>8966.76</v>
      </c>
      <c r="F18" s="77">
        <v>0</v>
      </c>
      <c r="G18" s="77">
        <f>+E18+F18</f>
        <v>8966.76</v>
      </c>
      <c r="H18" s="77">
        <f>+D18-G18</f>
        <v>32029.026971428531</v>
      </c>
      <c r="I18" s="77" t="s">
        <v>181</v>
      </c>
      <c r="J18" s="77" t="s">
        <v>182</v>
      </c>
      <c r="K18" s="75"/>
      <c r="L18" s="75"/>
      <c r="M18" s="75">
        <f>+D18*40%</f>
        <v>16398.314788571413</v>
      </c>
      <c r="N18" s="75"/>
      <c r="O18" s="75"/>
      <c r="P18" s="75"/>
      <c r="Q18" s="75"/>
      <c r="R18" s="75"/>
      <c r="S18" s="75"/>
      <c r="T18" s="75"/>
      <c r="U18" s="75"/>
      <c r="V18" s="75"/>
      <c r="W18" s="75"/>
      <c r="X18" s="75"/>
      <c r="Y18" s="75"/>
      <c r="Z18" s="75"/>
      <c r="AA18" s="75"/>
      <c r="AB18" s="75">
        <f>SUM(K18:O18)</f>
        <v>16398.314788571413</v>
      </c>
      <c r="AC18" s="75">
        <f>SUM(P18:U18)</f>
        <v>0</v>
      </c>
      <c r="AD18" s="75">
        <f>SUM(V18:AA18)</f>
        <v>0</v>
      </c>
      <c r="AE18" s="75">
        <f>+AB18+AC18+AD18</f>
        <v>16398.314788571413</v>
      </c>
      <c r="AF18" s="94">
        <f>70000-C18</f>
        <v>38064.000000000029</v>
      </c>
    </row>
    <row r="19" spans="1:32" s="125" customFormat="1" ht="14.25" customHeight="1" x14ac:dyDescent="0.2">
      <c r="A19" s="119"/>
      <c r="B19" s="120" t="s">
        <v>191</v>
      </c>
      <c r="C19" s="121">
        <v>140664</v>
      </c>
      <c r="D19" s="121">
        <v>0</v>
      </c>
      <c r="E19" s="122">
        <v>0</v>
      </c>
      <c r="F19" s="122">
        <v>0</v>
      </c>
      <c r="G19" s="122">
        <f>+E19+F19</f>
        <v>0</v>
      </c>
      <c r="H19" s="122">
        <f>+C19-G19</f>
        <v>140664</v>
      </c>
      <c r="I19" s="122"/>
      <c r="J19" s="122"/>
      <c r="K19" s="123"/>
      <c r="L19" s="123"/>
      <c r="M19" s="123"/>
      <c r="N19" s="123"/>
      <c r="O19" s="123"/>
      <c r="P19" s="123"/>
      <c r="Q19" s="123"/>
      <c r="R19" s="123"/>
      <c r="S19" s="123"/>
      <c r="T19" s="123"/>
      <c r="U19" s="123"/>
      <c r="V19" s="123"/>
      <c r="W19" s="123"/>
      <c r="X19" s="123"/>
      <c r="Y19" s="123"/>
      <c r="Z19" s="123"/>
      <c r="AA19" s="123"/>
      <c r="AB19" s="123">
        <f>SUM(K19:O19)</f>
        <v>0</v>
      </c>
      <c r="AC19" s="123">
        <f>SUM(P19:U19)</f>
        <v>0</v>
      </c>
      <c r="AD19" s="123">
        <f>SUM(V19:AA19)</f>
        <v>0</v>
      </c>
      <c r="AE19" s="123">
        <f>+AB19+AC19+AD19</f>
        <v>0</v>
      </c>
      <c r="AF19" s="121">
        <v>5000</v>
      </c>
    </row>
    <row r="20" spans="1:32" s="125" customFormat="1" ht="15" customHeight="1" x14ac:dyDescent="0.2">
      <c r="A20" s="119"/>
      <c r="B20" s="120" t="s">
        <v>193</v>
      </c>
      <c r="C20" s="121"/>
      <c r="D20" s="121"/>
      <c r="E20" s="122"/>
      <c r="F20" s="122"/>
      <c r="G20" s="122"/>
      <c r="H20" s="122"/>
      <c r="I20" s="122"/>
      <c r="J20" s="122"/>
      <c r="K20" s="123"/>
      <c r="L20" s="123"/>
      <c r="M20" s="123"/>
      <c r="N20" s="123"/>
      <c r="O20" s="123"/>
      <c r="P20" s="123"/>
      <c r="Q20" s="123"/>
      <c r="R20" s="123"/>
      <c r="S20" s="123"/>
      <c r="T20" s="123"/>
      <c r="U20" s="123"/>
      <c r="V20" s="123"/>
      <c r="W20" s="123"/>
      <c r="X20" s="123"/>
      <c r="Y20" s="123"/>
      <c r="Z20" s="123"/>
      <c r="AA20" s="123"/>
      <c r="AB20" s="123"/>
      <c r="AC20" s="123"/>
      <c r="AD20" s="123"/>
      <c r="AE20" s="123"/>
      <c r="AF20" s="124"/>
    </row>
    <row r="21" spans="1:32" ht="25.5" x14ac:dyDescent="0.2">
      <c r="A21" s="87"/>
      <c r="B21" s="92" t="s">
        <v>180</v>
      </c>
      <c r="C21" s="93">
        <f>24000-2400</f>
        <v>21600</v>
      </c>
      <c r="D21" s="93" t="s">
        <v>192</v>
      </c>
      <c r="E21" s="77">
        <v>21400</v>
      </c>
      <c r="F21" s="77">
        <v>0</v>
      </c>
      <c r="G21" s="77">
        <f>+E21+F21</f>
        <v>21400</v>
      </c>
      <c r="H21" s="77">
        <v>0</v>
      </c>
      <c r="I21" s="77" t="s">
        <v>178</v>
      </c>
      <c r="J21" s="77" t="s">
        <v>176</v>
      </c>
      <c r="K21" s="75"/>
      <c r="L21" s="75"/>
      <c r="M21" s="75"/>
      <c r="N21" s="75"/>
      <c r="O21" s="75"/>
      <c r="P21" s="75"/>
      <c r="Q21" s="75"/>
      <c r="R21" s="75"/>
      <c r="S21" s="75"/>
      <c r="T21" s="75"/>
      <c r="U21" s="75"/>
      <c r="V21" s="75"/>
      <c r="W21" s="75"/>
      <c r="X21" s="75"/>
      <c r="Y21" s="75"/>
      <c r="Z21" s="75"/>
      <c r="AA21" s="75"/>
      <c r="AB21" s="75">
        <f>SUM(K21:O21)</f>
        <v>0</v>
      </c>
      <c r="AC21" s="75">
        <f>SUM(P21:U21)</f>
        <v>0</v>
      </c>
      <c r="AD21" s="75">
        <f>SUM(V21:AA21)</f>
        <v>0</v>
      </c>
      <c r="AE21" s="75">
        <f>+AB21+AC21+AD21</f>
        <v>0</v>
      </c>
      <c r="AF21" s="94">
        <v>2400</v>
      </c>
    </row>
    <row r="22" spans="1:32" ht="25.5" x14ac:dyDescent="0.2">
      <c r="A22" s="87"/>
      <c r="B22" s="92" t="s">
        <v>185</v>
      </c>
      <c r="C22" s="93">
        <f>35000-3500</f>
        <v>31500</v>
      </c>
      <c r="D22" s="93" t="s">
        <v>192</v>
      </c>
      <c r="E22" s="77">
        <v>37800</v>
      </c>
      <c r="F22" s="77">
        <v>0</v>
      </c>
      <c r="G22" s="77">
        <f>+E22+F22</f>
        <v>37800</v>
      </c>
      <c r="H22" s="77">
        <v>0</v>
      </c>
      <c r="I22" s="77" t="s">
        <v>186</v>
      </c>
      <c r="J22" s="77" t="s">
        <v>187</v>
      </c>
      <c r="K22" s="75"/>
      <c r="L22" s="75"/>
      <c r="M22" s="75"/>
      <c r="N22" s="75"/>
      <c r="O22" s="75"/>
      <c r="P22" s="75"/>
      <c r="Q22" s="75"/>
      <c r="R22" s="75"/>
      <c r="S22" s="75"/>
      <c r="T22" s="75"/>
      <c r="U22" s="75"/>
      <c r="V22" s="75"/>
      <c r="W22" s="75"/>
      <c r="X22" s="75"/>
      <c r="Y22" s="75"/>
      <c r="Z22" s="75"/>
      <c r="AA22" s="75"/>
      <c r="AB22" s="75">
        <f>SUM(K22:O22)</f>
        <v>0</v>
      </c>
      <c r="AC22" s="75">
        <f>SUM(P22:U22)</f>
        <v>0</v>
      </c>
      <c r="AD22" s="75">
        <f>SUM(V22:AA22)</f>
        <v>0</v>
      </c>
      <c r="AE22" s="75">
        <f>+AB22+AC22+AD22</f>
        <v>0</v>
      </c>
      <c r="AF22" s="94">
        <v>3500</v>
      </c>
    </row>
    <row r="23" spans="1:32" ht="27" customHeight="1" x14ac:dyDescent="0.2">
      <c r="A23" s="87"/>
      <c r="B23" s="92" t="s">
        <v>188</v>
      </c>
      <c r="C23" s="93">
        <f>24000-2400</f>
        <v>21600</v>
      </c>
      <c r="D23" s="93" t="s">
        <v>192</v>
      </c>
      <c r="E23" s="77">
        <v>24958</v>
      </c>
      <c r="F23" s="77">
        <v>0</v>
      </c>
      <c r="G23" s="77">
        <f>+E23+F23</f>
        <v>24958</v>
      </c>
      <c r="H23" s="77">
        <v>0</v>
      </c>
      <c r="I23" s="77" t="s">
        <v>189</v>
      </c>
      <c r="J23" s="77" t="s">
        <v>190</v>
      </c>
      <c r="K23" s="75"/>
      <c r="L23" s="75"/>
      <c r="M23" s="75"/>
      <c r="N23" s="75"/>
      <c r="O23" s="75"/>
      <c r="P23" s="75"/>
      <c r="Q23" s="75"/>
      <c r="R23" s="75"/>
      <c r="S23" s="75"/>
      <c r="T23" s="75"/>
      <c r="U23" s="75"/>
      <c r="V23" s="75"/>
      <c r="W23" s="75"/>
      <c r="X23" s="75"/>
      <c r="Y23" s="75"/>
      <c r="Z23" s="75"/>
      <c r="AA23" s="75"/>
      <c r="AB23" s="75">
        <f>SUM(K23:O23)</f>
        <v>0</v>
      </c>
      <c r="AC23" s="75">
        <f>SUM(P23:U23)</f>
        <v>0</v>
      </c>
      <c r="AD23" s="75">
        <f>SUM(V23:AA23)</f>
        <v>0</v>
      </c>
      <c r="AE23" s="75">
        <f>+AB23+AC23+AD23</f>
        <v>0</v>
      </c>
      <c r="AF23" s="94">
        <v>2400</v>
      </c>
    </row>
    <row r="24" spans="1:32" ht="24" customHeight="1" x14ac:dyDescent="0.2">
      <c r="A24" s="112"/>
      <c r="B24" s="113" t="s">
        <v>200</v>
      </c>
      <c r="C24" s="114">
        <v>127499.29999999999</v>
      </c>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v>19634.3302020847</v>
      </c>
    </row>
    <row r="25" spans="1:32" ht="24" customHeight="1" x14ac:dyDescent="0.2">
      <c r="A25" s="112"/>
      <c r="B25" s="113" t="s">
        <v>199</v>
      </c>
      <c r="C25" s="114">
        <v>133500.70000000001</v>
      </c>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v>9365.6697979153359</v>
      </c>
    </row>
    <row r="26" spans="1:32" ht="25.5" x14ac:dyDescent="0.2">
      <c r="A26" s="85" t="s">
        <v>154</v>
      </c>
      <c r="B26" s="58" t="s">
        <v>112</v>
      </c>
      <c r="C26" s="74">
        <f>+C27+C31+C34+C40-C45-C46</f>
        <v>550000</v>
      </c>
      <c r="D26" s="74">
        <f>+D27+D31+D34+D40</f>
        <v>89336.09</v>
      </c>
      <c r="E26" s="74">
        <f>+E27+E31+E34+E40</f>
        <v>6795.04</v>
      </c>
      <c r="F26" s="74">
        <f>+F27+F31+F34+F40</f>
        <v>0</v>
      </c>
      <c r="G26" s="74">
        <f>+G27+G31+G34+G40</f>
        <v>6795.04</v>
      </c>
      <c r="H26" s="74">
        <f>+H27+H31+H34+H40</f>
        <v>689341.05</v>
      </c>
      <c r="I26" s="74"/>
      <c r="J26" s="74"/>
      <c r="K26" s="74"/>
      <c r="L26" s="74"/>
      <c r="M26" s="74"/>
      <c r="N26" s="74"/>
      <c r="O26" s="74"/>
      <c r="P26" s="74"/>
      <c r="Q26" s="74"/>
      <c r="R26" s="74"/>
      <c r="S26" s="74"/>
      <c r="T26" s="74"/>
      <c r="U26" s="74"/>
      <c r="V26" s="74"/>
      <c r="W26" s="74"/>
      <c r="X26" s="74"/>
      <c r="Y26" s="74"/>
      <c r="Z26" s="74"/>
      <c r="AA26" s="74"/>
      <c r="AB26" s="74">
        <f>+AB27+AB31+AB34+AB40</f>
        <v>51460</v>
      </c>
      <c r="AC26" s="74">
        <f>+AC27+AC31+AC34+AC40</f>
        <v>150850</v>
      </c>
      <c r="AD26" s="74">
        <f>+AD27+AD31+AD34+AD40</f>
        <v>114150</v>
      </c>
      <c r="AE26" s="74">
        <f>+AE27+AE31+AE34+AE40</f>
        <v>316460</v>
      </c>
      <c r="AF26" s="74">
        <f>+AF27+AF31+AF34+AF40-AF46-AF45</f>
        <v>230000</v>
      </c>
    </row>
    <row r="27" spans="1:32" ht="25.5" x14ac:dyDescent="0.2">
      <c r="A27" s="86" t="s">
        <v>73</v>
      </c>
      <c r="B27" s="59" t="s">
        <v>113</v>
      </c>
      <c r="C27" s="76">
        <f>SUM(C28:C30)</f>
        <v>116250</v>
      </c>
      <c r="D27" s="76">
        <f t="shared" ref="D27:H27" si="8">SUM(D28:D30)</f>
        <v>0</v>
      </c>
      <c r="E27" s="76">
        <f t="shared" si="8"/>
        <v>0</v>
      </c>
      <c r="F27" s="76">
        <f t="shared" si="8"/>
        <v>0</v>
      </c>
      <c r="G27" s="76">
        <f t="shared" si="8"/>
        <v>0</v>
      </c>
      <c r="H27" s="76">
        <f t="shared" si="8"/>
        <v>116250</v>
      </c>
      <c r="I27" s="76"/>
      <c r="J27" s="76"/>
      <c r="K27" s="76"/>
      <c r="L27" s="76"/>
      <c r="M27" s="76"/>
      <c r="N27" s="76"/>
      <c r="O27" s="76"/>
      <c r="P27" s="76"/>
      <c r="Q27" s="76"/>
      <c r="R27" s="76"/>
      <c r="S27" s="76"/>
      <c r="T27" s="76"/>
      <c r="U27" s="76"/>
      <c r="V27" s="76"/>
      <c r="W27" s="76"/>
      <c r="X27" s="76"/>
      <c r="Y27" s="76"/>
      <c r="Z27" s="76"/>
      <c r="AA27" s="76"/>
      <c r="AB27" s="76">
        <f>SUM(AB28:AB30)</f>
        <v>2250</v>
      </c>
      <c r="AC27" s="76">
        <f>SUM(AC28:AC30)</f>
        <v>13500</v>
      </c>
      <c r="AD27" s="76">
        <f>SUM(AD28:AD30)</f>
        <v>40500</v>
      </c>
      <c r="AE27" s="76">
        <f>SUM(AE28:AE30)</f>
        <v>56250</v>
      </c>
      <c r="AF27" s="76">
        <f>SUM(AF28:AF30)</f>
        <v>37500</v>
      </c>
    </row>
    <row r="28" spans="1:32" ht="25.5" x14ac:dyDescent="0.2">
      <c r="A28" s="87"/>
      <c r="B28" s="116" t="s">
        <v>207</v>
      </c>
      <c r="C28" s="93">
        <f>60000*75%</f>
        <v>45000</v>
      </c>
      <c r="D28" s="93">
        <v>0</v>
      </c>
      <c r="E28" s="77">
        <v>0</v>
      </c>
      <c r="F28" s="77">
        <v>0</v>
      </c>
      <c r="G28" s="77">
        <f>+E28+F28</f>
        <v>0</v>
      </c>
      <c r="H28" s="77">
        <f>+C28-G28</f>
        <v>45000</v>
      </c>
      <c r="I28" s="77" t="s">
        <v>208</v>
      </c>
      <c r="J28" s="77" t="s">
        <v>209</v>
      </c>
      <c r="K28" s="75"/>
      <c r="L28" s="75"/>
      <c r="M28" s="108"/>
      <c r="N28" s="108"/>
      <c r="O28" s="108"/>
      <c r="P28" s="79"/>
      <c r="Q28" s="79"/>
      <c r="R28" s="79"/>
      <c r="S28" s="79"/>
      <c r="T28" s="81"/>
      <c r="U28" s="81">
        <f>20%*C28</f>
        <v>9000</v>
      </c>
      <c r="V28" s="81"/>
      <c r="W28" s="81"/>
      <c r="X28" s="81">
        <f>40%*C28</f>
        <v>18000</v>
      </c>
      <c r="Y28" s="81"/>
      <c r="Z28" s="75">
        <f>40%*C28</f>
        <v>18000</v>
      </c>
      <c r="AA28" s="75"/>
      <c r="AB28" s="75">
        <f t="shared" ref="AB28" si="9">SUM(K28:O28)</f>
        <v>0</v>
      </c>
      <c r="AC28" s="75">
        <f t="shared" ref="AC28" si="10">SUM(P28:U28)</f>
        <v>9000</v>
      </c>
      <c r="AD28" s="75">
        <f t="shared" ref="AD28" si="11">SUM(V28:AA28)</f>
        <v>36000</v>
      </c>
      <c r="AE28" s="75">
        <f t="shared" ref="AE28" si="12">+AB28+AC28+AD28</f>
        <v>45000</v>
      </c>
      <c r="AF28" s="93">
        <f>60000*25%</f>
        <v>15000</v>
      </c>
    </row>
    <row r="29" spans="1:32" ht="25.5" x14ac:dyDescent="0.2">
      <c r="A29" s="87"/>
      <c r="B29" s="116" t="s">
        <v>174</v>
      </c>
      <c r="C29" s="93">
        <v>11250</v>
      </c>
      <c r="D29" s="93">
        <v>0</v>
      </c>
      <c r="E29" s="77">
        <v>0</v>
      </c>
      <c r="F29" s="77">
        <v>0</v>
      </c>
      <c r="G29" s="77">
        <f>+E29+F29</f>
        <v>0</v>
      </c>
      <c r="H29" s="77">
        <f t="shared" ref="H29" si="13">+C29-G29</f>
        <v>11250</v>
      </c>
      <c r="I29" s="77" t="s">
        <v>175</v>
      </c>
      <c r="J29" s="77" t="s">
        <v>176</v>
      </c>
      <c r="K29" s="79"/>
      <c r="L29" s="81"/>
      <c r="M29" s="81">
        <f>20%*C29</f>
        <v>2250</v>
      </c>
      <c r="N29" s="81"/>
      <c r="O29" s="81"/>
      <c r="P29" s="81"/>
      <c r="Q29" s="81"/>
      <c r="R29" s="81"/>
      <c r="S29" s="81">
        <f>40%*C29</f>
        <v>4500</v>
      </c>
      <c r="T29" s="81"/>
      <c r="U29" s="81"/>
      <c r="V29" s="81"/>
      <c r="W29" s="81"/>
      <c r="X29" s="81"/>
      <c r="Y29" s="75">
        <f>40%*C29</f>
        <v>4500</v>
      </c>
      <c r="Z29" s="75"/>
      <c r="AA29" s="75"/>
      <c r="AB29" s="75">
        <f>SUM(K29:O29)</f>
        <v>2250</v>
      </c>
      <c r="AC29" s="75">
        <f>SUM(P29:U29)</f>
        <v>4500</v>
      </c>
      <c r="AD29" s="75">
        <f>SUM(V29:AA29)</f>
        <v>4500</v>
      </c>
      <c r="AE29" s="75">
        <f>+AB29+AC29+AD29</f>
        <v>11250</v>
      </c>
      <c r="AF29" s="94">
        <v>3750</v>
      </c>
    </row>
    <row r="30" spans="1:32" s="128" customFormat="1" x14ac:dyDescent="0.2">
      <c r="A30" s="127"/>
      <c r="B30" s="120" t="s">
        <v>191</v>
      </c>
      <c r="C30" s="123">
        <f>80000*75%</f>
        <v>60000</v>
      </c>
      <c r="D30" s="121">
        <v>0</v>
      </c>
      <c r="E30" s="122">
        <v>0</v>
      </c>
      <c r="F30" s="122">
        <v>0</v>
      </c>
      <c r="G30" s="122">
        <f>+E30+F30</f>
        <v>0</v>
      </c>
      <c r="H30" s="122">
        <f>+C30-G30</f>
        <v>60000</v>
      </c>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f>75000*25%</f>
        <v>18750</v>
      </c>
    </row>
    <row r="31" spans="1:32" x14ac:dyDescent="0.2">
      <c r="A31" s="86" t="s">
        <v>74</v>
      </c>
      <c r="B31" s="59" t="s">
        <v>114</v>
      </c>
      <c r="C31" s="76">
        <f>SUM(C32:C33)</f>
        <v>48750</v>
      </c>
      <c r="D31" s="76">
        <f t="shared" ref="D31:H31" si="14">SUM(D32:D33)</f>
        <v>0</v>
      </c>
      <c r="E31" s="76">
        <f t="shared" si="14"/>
        <v>0</v>
      </c>
      <c r="F31" s="76">
        <f t="shared" si="14"/>
        <v>0</v>
      </c>
      <c r="G31" s="76">
        <f t="shared" si="14"/>
        <v>0</v>
      </c>
      <c r="H31" s="76">
        <f t="shared" si="14"/>
        <v>48750</v>
      </c>
      <c r="I31" s="76"/>
      <c r="J31" s="76"/>
      <c r="K31" s="76"/>
      <c r="L31" s="76"/>
      <c r="M31" s="76"/>
      <c r="N31" s="76"/>
      <c r="O31" s="76"/>
      <c r="P31" s="76"/>
      <c r="Q31" s="76"/>
      <c r="R31" s="76"/>
      <c r="S31" s="76"/>
      <c r="T31" s="76"/>
      <c r="U31" s="76"/>
      <c r="V31" s="76"/>
      <c r="W31" s="76"/>
      <c r="X31" s="76"/>
      <c r="Y31" s="76"/>
      <c r="Z31" s="76"/>
      <c r="AA31" s="76"/>
      <c r="AB31" s="76">
        <f>SUM(AB32:AB33)</f>
        <v>0</v>
      </c>
      <c r="AC31" s="76">
        <f t="shared" ref="AC31:AF31" si="15">SUM(AC32:AC33)</f>
        <v>9750</v>
      </c>
      <c r="AD31" s="76">
        <f t="shared" si="15"/>
        <v>39000</v>
      </c>
      <c r="AE31" s="76">
        <f t="shared" si="15"/>
        <v>48750</v>
      </c>
      <c r="AF31" s="76">
        <f t="shared" si="15"/>
        <v>16250</v>
      </c>
    </row>
    <row r="32" spans="1:32" ht="51" x14ac:dyDescent="0.2">
      <c r="A32" s="87"/>
      <c r="B32" s="116" t="s">
        <v>210</v>
      </c>
      <c r="C32" s="93">
        <f>65000*75%</f>
        <v>48750</v>
      </c>
      <c r="D32" s="93">
        <v>0</v>
      </c>
      <c r="E32" s="77">
        <v>0</v>
      </c>
      <c r="F32" s="77">
        <v>0</v>
      </c>
      <c r="G32" s="77">
        <f>+E32+F32</f>
        <v>0</v>
      </c>
      <c r="H32" s="77">
        <f>+C32-G32</f>
        <v>48750</v>
      </c>
      <c r="I32" s="77" t="s">
        <v>211</v>
      </c>
      <c r="J32" s="77" t="s">
        <v>212</v>
      </c>
      <c r="K32" s="75"/>
      <c r="L32" s="108"/>
      <c r="M32" s="108"/>
      <c r="N32" s="108"/>
      <c r="O32" s="79"/>
      <c r="P32" s="79"/>
      <c r="Q32" s="79"/>
      <c r="R32" s="79"/>
      <c r="S32" s="79"/>
      <c r="T32" s="81"/>
      <c r="U32" s="81">
        <f>20%*C32</f>
        <v>9750</v>
      </c>
      <c r="V32" s="81"/>
      <c r="W32" s="81"/>
      <c r="X32" s="81">
        <f>40%*C32</f>
        <v>19500</v>
      </c>
      <c r="Y32" s="81"/>
      <c r="Z32" s="75">
        <f>40%*C32</f>
        <v>19500</v>
      </c>
      <c r="AA32" s="75"/>
      <c r="AB32" s="75">
        <f>SUM(K32:O32)</f>
        <v>0</v>
      </c>
      <c r="AC32" s="75">
        <f>SUM(P32:U32)</f>
        <v>9750</v>
      </c>
      <c r="AD32" s="75">
        <f>SUM(V32:AA32)</f>
        <v>39000</v>
      </c>
      <c r="AE32" s="75">
        <f>+AB32+AC32+AD32</f>
        <v>48750</v>
      </c>
      <c r="AF32" s="93">
        <f>65000*25%</f>
        <v>16250</v>
      </c>
    </row>
    <row r="33" spans="1:32" s="128" customFormat="1" x14ac:dyDescent="0.2">
      <c r="A33" s="127"/>
      <c r="B33" s="130" t="s">
        <v>191</v>
      </c>
      <c r="C33" s="126">
        <v>0</v>
      </c>
      <c r="D33" s="121">
        <v>0</v>
      </c>
      <c r="E33" s="122">
        <v>0</v>
      </c>
      <c r="F33" s="122">
        <v>0</v>
      </c>
      <c r="G33" s="122">
        <f>+E33+F33</f>
        <v>0</v>
      </c>
      <c r="H33" s="122">
        <f>+C33-G33</f>
        <v>0</v>
      </c>
      <c r="I33" s="123"/>
      <c r="J33" s="123"/>
      <c r="K33" s="126"/>
      <c r="L33" s="126"/>
      <c r="M33" s="123"/>
      <c r="N33" s="123"/>
      <c r="O33" s="123"/>
      <c r="P33" s="123"/>
      <c r="Q33" s="123"/>
      <c r="R33" s="123"/>
      <c r="S33" s="123"/>
      <c r="T33" s="126"/>
      <c r="U33" s="126"/>
      <c r="V33" s="126"/>
      <c r="W33" s="126"/>
      <c r="X33" s="123"/>
      <c r="Y33" s="123"/>
      <c r="Z33" s="123"/>
      <c r="AA33" s="123"/>
      <c r="AB33" s="123"/>
      <c r="AC33" s="123"/>
      <c r="AD33" s="123"/>
      <c r="AE33" s="123"/>
      <c r="AF33" s="129"/>
    </row>
    <row r="34" spans="1:32" ht="25.5" x14ac:dyDescent="0.2">
      <c r="A34" s="86" t="s">
        <v>142</v>
      </c>
      <c r="B34" s="59" t="s">
        <v>115</v>
      </c>
      <c r="C34" s="76">
        <f>SUM(C35:C39)</f>
        <v>83250</v>
      </c>
      <c r="D34" s="76">
        <f t="shared" ref="D34:H34" si="16">SUM(D35:D39)</f>
        <v>0</v>
      </c>
      <c r="E34" s="76">
        <f t="shared" si="16"/>
        <v>0</v>
      </c>
      <c r="F34" s="76">
        <f t="shared" si="16"/>
        <v>0</v>
      </c>
      <c r="G34" s="76">
        <f t="shared" si="16"/>
        <v>0</v>
      </c>
      <c r="H34" s="76">
        <f t="shared" si="16"/>
        <v>83250</v>
      </c>
      <c r="I34" s="76"/>
      <c r="J34" s="76"/>
      <c r="K34" s="76"/>
      <c r="L34" s="76"/>
      <c r="M34" s="76"/>
      <c r="N34" s="76"/>
      <c r="O34" s="76"/>
      <c r="P34" s="76"/>
      <c r="Q34" s="76"/>
      <c r="R34" s="76"/>
      <c r="S34" s="76"/>
      <c r="T34" s="76"/>
      <c r="U34" s="76"/>
      <c r="V34" s="76"/>
      <c r="W34" s="76"/>
      <c r="X34" s="76"/>
      <c r="Y34" s="76"/>
      <c r="Z34" s="76"/>
      <c r="AA34" s="76"/>
      <c r="AB34" s="76">
        <f>SUM(AB35:AB39)</f>
        <v>0</v>
      </c>
      <c r="AC34" s="76">
        <f t="shared" ref="AC34:AF34" si="17">SUM(AC35:AC39)</f>
        <v>1800</v>
      </c>
      <c r="AD34" s="76">
        <f t="shared" si="17"/>
        <v>34650</v>
      </c>
      <c r="AE34" s="76">
        <f t="shared" si="17"/>
        <v>36450</v>
      </c>
      <c r="AF34" s="76">
        <f t="shared" si="17"/>
        <v>11750</v>
      </c>
    </row>
    <row r="35" spans="1:32" ht="25.5" x14ac:dyDescent="0.2">
      <c r="A35" s="87"/>
      <c r="B35" s="116" t="s">
        <v>194</v>
      </c>
      <c r="C35" s="93">
        <f>25000-2500</f>
        <v>22500</v>
      </c>
      <c r="D35" s="93">
        <v>0</v>
      </c>
      <c r="E35" s="77">
        <v>0</v>
      </c>
      <c r="F35" s="77">
        <v>0</v>
      </c>
      <c r="G35" s="77">
        <f>+E35+F35</f>
        <v>0</v>
      </c>
      <c r="H35" s="77">
        <f>+C35-G35</f>
        <v>22500</v>
      </c>
      <c r="I35" s="77" t="s">
        <v>195</v>
      </c>
      <c r="J35" s="77" t="s">
        <v>176</v>
      </c>
      <c r="K35" s="75"/>
      <c r="L35" s="75"/>
      <c r="M35" s="75"/>
      <c r="N35" s="75"/>
      <c r="O35" s="75"/>
      <c r="P35" s="75"/>
      <c r="Q35" s="75"/>
      <c r="R35" s="75"/>
      <c r="S35" s="75"/>
      <c r="T35" s="75"/>
      <c r="U35" s="75"/>
      <c r="V35" s="75"/>
      <c r="W35" s="75"/>
      <c r="X35" s="108"/>
      <c r="Y35" s="108"/>
      <c r="Z35" s="108"/>
      <c r="AA35" s="79"/>
      <c r="AB35" s="75">
        <f t="shared" ref="AB35:AB38" si="18">SUM(K35:O35)</f>
        <v>0</v>
      </c>
      <c r="AC35" s="75">
        <f t="shared" ref="AC35:AC38" si="19">SUM(P35:U35)</f>
        <v>0</v>
      </c>
      <c r="AD35" s="75">
        <f t="shared" ref="AD35:AD38" si="20">SUM(V35:AA35)</f>
        <v>0</v>
      </c>
      <c r="AE35" s="75">
        <f t="shared" ref="AE35:AE38" si="21">+AB35+AC35+AD35</f>
        <v>0</v>
      </c>
      <c r="AF35" s="94">
        <v>2500</v>
      </c>
    </row>
    <row r="36" spans="1:32" ht="25.5" x14ac:dyDescent="0.2">
      <c r="A36" s="87"/>
      <c r="B36" s="116" t="s">
        <v>194</v>
      </c>
      <c r="C36" s="93">
        <v>9000</v>
      </c>
      <c r="D36" s="93">
        <v>0</v>
      </c>
      <c r="E36" s="77">
        <v>0</v>
      </c>
      <c r="F36" s="77">
        <v>0</v>
      </c>
      <c r="G36" s="77">
        <f>+E36+F36</f>
        <v>0</v>
      </c>
      <c r="H36" s="77">
        <f>+C36-G36</f>
        <v>9000</v>
      </c>
      <c r="I36" s="77" t="s">
        <v>203</v>
      </c>
      <c r="J36" s="77" t="s">
        <v>176</v>
      </c>
      <c r="K36" s="75"/>
      <c r="L36" s="75"/>
      <c r="M36" s="75"/>
      <c r="N36" s="108"/>
      <c r="O36" s="108"/>
      <c r="P36" s="108"/>
      <c r="Q36" s="79"/>
      <c r="R36" s="79"/>
      <c r="S36" s="79"/>
      <c r="T36" s="81"/>
      <c r="U36" s="81">
        <f>20%*C36</f>
        <v>1800</v>
      </c>
      <c r="V36" s="81"/>
      <c r="W36" s="81"/>
      <c r="X36" s="81"/>
      <c r="Y36" s="81">
        <f>40%*C36</f>
        <v>3600</v>
      </c>
      <c r="Z36" s="81"/>
      <c r="AA36" s="81"/>
      <c r="AB36" s="75">
        <f t="shared" si="18"/>
        <v>0</v>
      </c>
      <c r="AC36" s="75">
        <f t="shared" si="19"/>
        <v>1800</v>
      </c>
      <c r="AD36" s="75">
        <f t="shared" si="20"/>
        <v>3600</v>
      </c>
      <c r="AE36" s="75">
        <f t="shared" si="21"/>
        <v>5400</v>
      </c>
      <c r="AF36" s="94">
        <v>1000</v>
      </c>
    </row>
    <row r="37" spans="1:32" ht="38.25" x14ac:dyDescent="0.2">
      <c r="A37" s="87"/>
      <c r="B37" s="116" t="s">
        <v>168</v>
      </c>
      <c r="C37" s="93">
        <f>45000-4500</f>
        <v>40500</v>
      </c>
      <c r="D37" s="93">
        <v>0</v>
      </c>
      <c r="E37" s="77">
        <v>0</v>
      </c>
      <c r="F37" s="77">
        <v>0</v>
      </c>
      <c r="G37" s="77">
        <f>+E37+F37</f>
        <v>0</v>
      </c>
      <c r="H37" s="77">
        <f>+C37-G37</f>
        <v>40500</v>
      </c>
      <c r="I37" s="77" t="s">
        <v>169</v>
      </c>
      <c r="J37" s="77" t="s">
        <v>170</v>
      </c>
      <c r="K37" s="75"/>
      <c r="L37" s="75"/>
      <c r="M37" s="108"/>
      <c r="N37" s="108"/>
      <c r="O37" s="108"/>
      <c r="P37" s="79"/>
      <c r="Q37" s="79"/>
      <c r="R37" s="79"/>
      <c r="S37" s="79"/>
      <c r="T37" s="79"/>
      <c r="U37" s="79"/>
      <c r="V37" s="81"/>
      <c r="W37" s="81">
        <f>20%*C37</f>
        <v>8100</v>
      </c>
      <c r="X37" s="81"/>
      <c r="Y37" s="81"/>
      <c r="Z37" s="81"/>
      <c r="AA37" s="81">
        <f>40%*C37</f>
        <v>16200</v>
      </c>
      <c r="AB37" s="75">
        <f t="shared" si="18"/>
        <v>0</v>
      </c>
      <c r="AC37" s="75">
        <f t="shared" si="19"/>
        <v>0</v>
      </c>
      <c r="AD37" s="75">
        <f t="shared" si="20"/>
        <v>24300</v>
      </c>
      <c r="AE37" s="75">
        <f t="shared" si="21"/>
        <v>24300</v>
      </c>
      <c r="AF37" s="94">
        <v>4500</v>
      </c>
    </row>
    <row r="38" spans="1:32" ht="38.25" x14ac:dyDescent="0.2">
      <c r="A38" s="87"/>
      <c r="B38" s="116" t="s">
        <v>204</v>
      </c>
      <c r="C38" s="93">
        <f>15000*75%</f>
        <v>11250</v>
      </c>
      <c r="D38" s="93">
        <v>0</v>
      </c>
      <c r="E38" s="77">
        <v>0</v>
      </c>
      <c r="F38" s="77">
        <v>0</v>
      </c>
      <c r="G38" s="77">
        <f>+E38+F38</f>
        <v>0</v>
      </c>
      <c r="H38" s="77">
        <f>+C38-G38</f>
        <v>11250</v>
      </c>
      <c r="I38" s="77" t="s">
        <v>205</v>
      </c>
      <c r="J38" s="77" t="s">
        <v>206</v>
      </c>
      <c r="K38" s="75"/>
      <c r="L38" s="75"/>
      <c r="M38" s="108"/>
      <c r="N38" s="108"/>
      <c r="O38" s="108"/>
      <c r="P38" s="79"/>
      <c r="Q38" s="79"/>
      <c r="R38" s="79"/>
      <c r="S38" s="79"/>
      <c r="T38" s="79"/>
      <c r="U38" s="81"/>
      <c r="V38" s="81">
        <f>20%*C38</f>
        <v>2250</v>
      </c>
      <c r="W38" s="81"/>
      <c r="X38" s="81"/>
      <c r="Y38" s="81"/>
      <c r="Z38" s="81">
        <f>40%*C38</f>
        <v>4500</v>
      </c>
      <c r="AA38" s="81"/>
      <c r="AB38" s="75">
        <f t="shared" si="18"/>
        <v>0</v>
      </c>
      <c r="AC38" s="75">
        <f t="shared" si="19"/>
        <v>0</v>
      </c>
      <c r="AD38" s="75">
        <f t="shared" si="20"/>
        <v>6750</v>
      </c>
      <c r="AE38" s="75">
        <f t="shared" si="21"/>
        <v>6750</v>
      </c>
      <c r="AF38" s="93">
        <f>15000*25%</f>
        <v>3750</v>
      </c>
    </row>
    <row r="39" spans="1:32" s="128" customFormat="1" x14ac:dyDescent="0.2">
      <c r="A39" s="127"/>
      <c r="B39" s="130" t="s">
        <v>191</v>
      </c>
      <c r="C39" s="126">
        <v>0</v>
      </c>
      <c r="D39" s="121">
        <v>0</v>
      </c>
      <c r="E39" s="122">
        <v>0</v>
      </c>
      <c r="F39" s="122">
        <v>0</v>
      </c>
      <c r="G39" s="122">
        <f>+E39+F39</f>
        <v>0</v>
      </c>
      <c r="H39" s="122">
        <f>+C39-G39</f>
        <v>0</v>
      </c>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9"/>
    </row>
    <row r="40" spans="1:32" ht="25.5" x14ac:dyDescent="0.2">
      <c r="A40" s="86" t="s">
        <v>143</v>
      </c>
      <c r="B40" s="59" t="s">
        <v>116</v>
      </c>
      <c r="C40" s="76">
        <f t="shared" ref="C40:G40" si="22">SUM(C41:C44)</f>
        <v>454750</v>
      </c>
      <c r="D40" s="76">
        <f t="shared" si="22"/>
        <v>89336.09</v>
      </c>
      <c r="E40" s="76">
        <f t="shared" si="22"/>
        <v>6795.04</v>
      </c>
      <c r="F40" s="76">
        <f t="shared" si="22"/>
        <v>0</v>
      </c>
      <c r="G40" s="76">
        <f t="shared" si="22"/>
        <v>6795.04</v>
      </c>
      <c r="H40" s="76">
        <f>SUM(H41:H44)</f>
        <v>441091.05</v>
      </c>
      <c r="I40" s="76"/>
      <c r="J40" s="76"/>
      <c r="K40" s="76"/>
      <c r="L40" s="76"/>
      <c r="M40" s="76"/>
      <c r="N40" s="76"/>
      <c r="O40" s="76"/>
      <c r="P40" s="76"/>
      <c r="Q40" s="76"/>
      <c r="R40" s="76"/>
      <c r="S40" s="76"/>
      <c r="T40" s="76"/>
      <c r="U40" s="76"/>
      <c r="V40" s="76"/>
      <c r="W40" s="76"/>
      <c r="X40" s="76"/>
      <c r="Y40" s="76"/>
      <c r="Z40" s="76"/>
      <c r="AA40" s="76"/>
      <c r="AB40" s="76">
        <f>SUM(AB41:AB44)</f>
        <v>49210</v>
      </c>
      <c r="AC40" s="76">
        <f>SUM(AC41:AC44)</f>
        <v>125800</v>
      </c>
      <c r="AD40" s="76">
        <f>SUM(AD41:AD44)</f>
        <v>0</v>
      </c>
      <c r="AE40" s="76">
        <f>SUM(AE41:AE44)</f>
        <v>175010</v>
      </c>
      <c r="AF40" s="76">
        <f>SUM(AF41:AF44)</f>
        <v>181500</v>
      </c>
    </row>
    <row r="41" spans="1:32" ht="25.5" x14ac:dyDescent="0.2">
      <c r="A41" s="87"/>
      <c r="B41" s="92" t="s">
        <v>196</v>
      </c>
      <c r="C41" s="93">
        <f>170000-44200</f>
        <v>125800</v>
      </c>
      <c r="D41" s="93">
        <v>0</v>
      </c>
      <c r="E41" s="77">
        <v>0</v>
      </c>
      <c r="F41" s="77">
        <v>0</v>
      </c>
      <c r="G41" s="77">
        <f>+E41+F41</f>
        <v>0</v>
      </c>
      <c r="H41" s="77">
        <f>+C41-G41</f>
        <v>125800</v>
      </c>
      <c r="I41" s="77" t="s">
        <v>197</v>
      </c>
      <c r="J41" s="77" t="s">
        <v>198</v>
      </c>
      <c r="K41" s="75"/>
      <c r="L41" s="108"/>
      <c r="M41" s="108"/>
      <c r="N41" s="108"/>
      <c r="O41" s="79"/>
      <c r="P41" s="79"/>
      <c r="Q41" s="79"/>
      <c r="R41" s="79"/>
      <c r="S41" s="81"/>
      <c r="T41" s="81"/>
      <c r="U41" s="75">
        <f>+C41</f>
        <v>125800</v>
      </c>
      <c r="V41" s="75"/>
      <c r="W41" s="75"/>
      <c r="X41" s="75"/>
      <c r="Y41" s="75"/>
      <c r="Z41" s="75"/>
      <c r="AA41" s="75"/>
      <c r="AB41" s="75">
        <f>SUM(K41:O41)</f>
        <v>0</v>
      </c>
      <c r="AC41" s="75">
        <f>SUM(P41:U41)</f>
        <v>125800</v>
      </c>
      <c r="AD41" s="75">
        <f>SUM(V41:AA41)</f>
        <v>0</v>
      </c>
      <c r="AE41" s="75">
        <f>+AB41+AC41+AD41</f>
        <v>125800</v>
      </c>
      <c r="AF41" s="94">
        <v>44200</v>
      </c>
    </row>
    <row r="42" spans="1:32" ht="38.25" x14ac:dyDescent="0.2">
      <c r="A42" s="87"/>
      <c r="B42" s="92" t="s">
        <v>233</v>
      </c>
      <c r="C42" s="93">
        <v>96200</v>
      </c>
      <c r="D42" s="93">
        <f>83250*74%</f>
        <v>61605</v>
      </c>
      <c r="E42" s="77">
        <v>0</v>
      </c>
      <c r="F42" s="77">
        <v>0</v>
      </c>
      <c r="G42" s="77">
        <f>+E42+F42</f>
        <v>0</v>
      </c>
      <c r="H42" s="77">
        <f>+D42-G42</f>
        <v>61605</v>
      </c>
      <c r="I42" s="77" t="s">
        <v>201</v>
      </c>
      <c r="J42" s="77" t="s">
        <v>202</v>
      </c>
      <c r="K42" s="81"/>
      <c r="L42" s="81"/>
      <c r="M42" s="81">
        <f>74%*40408</f>
        <v>29901.919999999998</v>
      </c>
      <c r="N42" s="115">
        <f>26092*74%</f>
        <v>19308.079999999998</v>
      </c>
      <c r="O42" s="75"/>
      <c r="P42" s="75"/>
      <c r="Q42" s="75"/>
      <c r="R42" s="75"/>
      <c r="S42" s="75"/>
      <c r="T42" s="75"/>
      <c r="U42" s="75"/>
      <c r="V42" s="75"/>
      <c r="W42" s="75"/>
      <c r="X42" s="75"/>
      <c r="Y42" s="75"/>
      <c r="Z42" s="75"/>
      <c r="AA42" s="75"/>
      <c r="AB42" s="75">
        <f>SUM(K42:O42)</f>
        <v>49210</v>
      </c>
      <c r="AC42" s="75">
        <f>SUM(P42:U42)</f>
        <v>0</v>
      </c>
      <c r="AD42" s="75">
        <f>SUM(V42:AA42)</f>
        <v>0</v>
      </c>
      <c r="AE42" s="75">
        <f>+AB42+AC42+AD42</f>
        <v>49210</v>
      </c>
      <c r="AF42" s="94">
        <v>33800</v>
      </c>
    </row>
    <row r="43" spans="1:32" s="60" customFormat="1" x14ac:dyDescent="0.2">
      <c r="A43" s="88"/>
      <c r="B43" s="116" t="s">
        <v>213</v>
      </c>
      <c r="C43" s="75">
        <v>0</v>
      </c>
      <c r="D43" s="75">
        <v>27731.09</v>
      </c>
      <c r="E43" s="75">
        <v>6795.04</v>
      </c>
      <c r="F43" s="77">
        <v>0</v>
      </c>
      <c r="G43" s="77">
        <f>+E43+F43</f>
        <v>6795.04</v>
      </c>
      <c r="H43" s="77">
        <f>+D43-G43</f>
        <v>20936.05</v>
      </c>
      <c r="I43" s="75" t="s">
        <v>214</v>
      </c>
      <c r="J43" s="75" t="s">
        <v>214</v>
      </c>
      <c r="K43" s="75"/>
      <c r="L43" s="75"/>
      <c r="M43" s="75"/>
      <c r="N43" s="75"/>
      <c r="O43" s="75"/>
      <c r="P43" s="75"/>
      <c r="Q43" s="75"/>
      <c r="R43" s="75"/>
      <c r="S43" s="75"/>
      <c r="T43" s="75"/>
      <c r="U43" s="75"/>
      <c r="V43" s="75"/>
      <c r="W43" s="75"/>
      <c r="X43" s="75"/>
      <c r="Y43" s="75"/>
      <c r="Z43" s="75"/>
      <c r="AA43" s="75"/>
      <c r="AB43" s="75">
        <f>SUM(K43:O43)</f>
        <v>0</v>
      </c>
      <c r="AC43" s="75">
        <f>SUM(P43:U43)</f>
        <v>0</v>
      </c>
      <c r="AD43" s="75">
        <f>SUM(V43:AA43)</f>
        <v>0</v>
      </c>
      <c r="AE43" s="75">
        <f>+AB43+AC43+AD43</f>
        <v>0</v>
      </c>
      <c r="AF43" s="83">
        <v>0</v>
      </c>
    </row>
    <row r="44" spans="1:32" s="128" customFormat="1" x14ac:dyDescent="0.2">
      <c r="A44" s="127"/>
      <c r="B44" s="120" t="s">
        <v>191</v>
      </c>
      <c r="C44" s="123">
        <f>44800+187950</f>
        <v>232750</v>
      </c>
      <c r="D44" s="121">
        <v>0</v>
      </c>
      <c r="E44" s="122">
        <v>0</v>
      </c>
      <c r="F44" s="122">
        <v>0</v>
      </c>
      <c r="G44" s="122">
        <f>+E44+F44</f>
        <v>0</v>
      </c>
      <c r="H44" s="122">
        <f>+C44-G44</f>
        <v>232750</v>
      </c>
      <c r="I44" s="123"/>
      <c r="J44" s="123"/>
      <c r="K44" s="123"/>
      <c r="L44" s="123"/>
      <c r="M44" s="123"/>
      <c r="N44" s="123"/>
      <c r="O44" s="123"/>
      <c r="P44" s="123"/>
      <c r="Q44" s="123"/>
      <c r="R44" s="123"/>
      <c r="S44" s="123"/>
      <c r="T44" s="123"/>
      <c r="U44" s="123"/>
      <c r="V44" s="123"/>
      <c r="W44" s="123"/>
      <c r="X44" s="123"/>
      <c r="Y44" s="123"/>
      <c r="Z44" s="123"/>
      <c r="AA44" s="123"/>
      <c r="AB44" s="123">
        <f>SUM(K44:O44)</f>
        <v>0</v>
      </c>
      <c r="AC44" s="123">
        <f>SUM(P44:U44)</f>
        <v>0</v>
      </c>
      <c r="AD44" s="123">
        <f>SUM(V44:AA44)</f>
        <v>0</v>
      </c>
      <c r="AE44" s="123">
        <f>+AB44+AC44+AD44</f>
        <v>0</v>
      </c>
      <c r="AF44" s="126">
        <f>20200+83300</f>
        <v>103500</v>
      </c>
    </row>
    <row r="45" spans="1:32" s="60" customFormat="1" x14ac:dyDescent="0.2">
      <c r="A45" s="117"/>
      <c r="B45" s="113" t="s">
        <v>200</v>
      </c>
      <c r="C45" s="118">
        <v>42354.891969298049</v>
      </c>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v>7917.0325792217063</v>
      </c>
    </row>
    <row r="46" spans="1:32" s="60" customFormat="1" x14ac:dyDescent="0.2">
      <c r="A46" s="117"/>
      <c r="B46" s="113" t="s">
        <v>199</v>
      </c>
      <c r="C46" s="118">
        <v>110645.10803070196</v>
      </c>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v>9082.9674207782937</v>
      </c>
    </row>
    <row r="47" spans="1:32" x14ac:dyDescent="0.2">
      <c r="A47" s="89" t="s">
        <v>155</v>
      </c>
      <c r="B47" s="58" t="s">
        <v>117</v>
      </c>
      <c r="C47" s="95">
        <f>+C48+C52+C56-C61-C62</f>
        <v>1599999.8000000003</v>
      </c>
      <c r="D47" s="95">
        <f>+D48+D52+D56</f>
        <v>754315.30947964406</v>
      </c>
      <c r="E47" s="95">
        <f>+E48+E52+E56</f>
        <v>345522.27</v>
      </c>
      <c r="F47" s="95">
        <f>+F48+F52+F56</f>
        <v>0</v>
      </c>
      <c r="G47" s="95">
        <f>+G48+G52+G56</f>
        <v>345522.27</v>
      </c>
      <c r="H47" s="95">
        <f>+H48+H52+H56</f>
        <v>1687752.039479644</v>
      </c>
      <c r="I47" s="80"/>
      <c r="J47" s="80"/>
      <c r="K47" s="74"/>
      <c r="L47" s="74"/>
      <c r="M47" s="74"/>
      <c r="N47" s="74"/>
      <c r="O47" s="74"/>
      <c r="P47" s="74"/>
      <c r="Q47" s="74"/>
      <c r="R47" s="74"/>
      <c r="S47" s="74"/>
      <c r="T47" s="74"/>
      <c r="U47" s="74"/>
      <c r="V47" s="74"/>
      <c r="W47" s="74"/>
      <c r="X47" s="74"/>
      <c r="Y47" s="74"/>
      <c r="Z47" s="74"/>
      <c r="AA47" s="74"/>
      <c r="AB47" s="95">
        <f>+AB48+AB52+AB56</f>
        <v>187308.92583982201</v>
      </c>
      <c r="AC47" s="95">
        <f>+AC48+AC52+AC56</f>
        <v>259779.65363982203</v>
      </c>
      <c r="AD47" s="95">
        <f>+AD48+AD52+AD56</f>
        <v>54000</v>
      </c>
      <c r="AE47" s="95">
        <f>+AE48+AE52+AE56</f>
        <v>501088.57947964408</v>
      </c>
      <c r="AF47" s="95">
        <f>+AF48+AF52+AF56-AF61-AF62</f>
        <v>630000.19999999995</v>
      </c>
    </row>
    <row r="48" spans="1:32" ht="25.5" x14ac:dyDescent="0.2">
      <c r="A48" s="86" t="s">
        <v>121</v>
      </c>
      <c r="B48" s="59" t="s">
        <v>118</v>
      </c>
      <c r="C48" s="76">
        <f>SUM(C49:C51)</f>
        <v>219000</v>
      </c>
      <c r="D48" s="76">
        <f t="shared" ref="D48:H48" si="23">SUM(D49:D51)</f>
        <v>73393.311679644044</v>
      </c>
      <c r="E48" s="76">
        <f t="shared" si="23"/>
        <v>0</v>
      </c>
      <c r="F48" s="76">
        <f t="shared" si="23"/>
        <v>0</v>
      </c>
      <c r="G48" s="76">
        <f t="shared" si="23"/>
        <v>0</v>
      </c>
      <c r="H48" s="76">
        <f t="shared" si="23"/>
        <v>219393.31167964404</v>
      </c>
      <c r="I48" s="76"/>
      <c r="J48" s="76"/>
      <c r="K48" s="76"/>
      <c r="L48" s="76"/>
      <c r="M48" s="76"/>
      <c r="N48" s="76"/>
      <c r="O48" s="76"/>
      <c r="P48" s="76"/>
      <c r="Q48" s="76"/>
      <c r="R48" s="76"/>
      <c r="S48" s="76"/>
      <c r="T48" s="76"/>
      <c r="U48" s="76"/>
      <c r="V48" s="76"/>
      <c r="W48" s="76"/>
      <c r="X48" s="76"/>
      <c r="Y48" s="76"/>
      <c r="Z48" s="76"/>
      <c r="AA48" s="76"/>
      <c r="AB48" s="76">
        <f>SUM(AB49:AB51)</f>
        <v>36696.655839822022</v>
      </c>
      <c r="AC48" s="76">
        <f t="shared" ref="AC48:AE48" si="24">SUM(AC49:AC51)</f>
        <v>182696.65583982202</v>
      </c>
      <c r="AD48" s="76">
        <f t="shared" si="24"/>
        <v>0</v>
      </c>
      <c r="AE48" s="76">
        <f t="shared" si="24"/>
        <v>219393.31167964404</v>
      </c>
      <c r="AF48" s="76">
        <f>SUM(AF49:AF51)</f>
        <v>81000</v>
      </c>
    </row>
    <row r="49" spans="1:32" ht="25.5" x14ac:dyDescent="0.2">
      <c r="A49" s="87"/>
      <c r="B49" s="71" t="s">
        <v>217</v>
      </c>
      <c r="C49" s="78">
        <f>200000*73%</f>
        <v>146000</v>
      </c>
      <c r="D49" s="93">
        <v>0</v>
      </c>
      <c r="E49" s="77">
        <v>0</v>
      </c>
      <c r="F49" s="77">
        <v>0</v>
      </c>
      <c r="G49" s="77">
        <f>+E49+F49</f>
        <v>0</v>
      </c>
      <c r="H49" s="77">
        <f>+C49-G49</f>
        <v>146000</v>
      </c>
      <c r="I49" s="77" t="s">
        <v>218</v>
      </c>
      <c r="J49" s="77" t="s">
        <v>219</v>
      </c>
      <c r="K49" s="75"/>
      <c r="L49" s="108"/>
      <c r="M49" s="108"/>
      <c r="N49" s="79"/>
      <c r="O49" s="79"/>
      <c r="P49" s="79"/>
      <c r="Q49" s="81"/>
      <c r="R49" s="81"/>
      <c r="S49" s="81"/>
      <c r="T49" s="75">
        <f>+C49</f>
        <v>146000</v>
      </c>
      <c r="U49" s="75"/>
      <c r="V49" s="75"/>
      <c r="W49" s="75"/>
      <c r="X49" s="75"/>
      <c r="Y49" s="75"/>
      <c r="Z49" s="75"/>
      <c r="AA49" s="75"/>
      <c r="AB49" s="75">
        <f t="shared" ref="AB49" si="25">SUM(K49:O49)</f>
        <v>0</v>
      </c>
      <c r="AC49" s="75">
        <f t="shared" ref="AC49" si="26">SUM(P49:U49)</f>
        <v>146000</v>
      </c>
      <c r="AD49" s="75">
        <f t="shared" ref="AD49" si="27">SUM(V49:AA49)</f>
        <v>0</v>
      </c>
      <c r="AE49" s="75">
        <f t="shared" ref="AE49" si="28">+AB49+AC49+AD49</f>
        <v>146000</v>
      </c>
      <c r="AF49" s="78">
        <f>200000*27%</f>
        <v>54000</v>
      </c>
    </row>
    <row r="50" spans="1:32" ht="25.5" x14ac:dyDescent="0.2">
      <c r="A50" s="87"/>
      <c r="B50" s="71" t="s">
        <v>232</v>
      </c>
      <c r="C50" s="78">
        <f>100000*73%</f>
        <v>73000</v>
      </c>
      <c r="D50" s="93">
        <v>73393.311679644044</v>
      </c>
      <c r="E50" s="77">
        <v>0</v>
      </c>
      <c r="F50" s="77">
        <v>0</v>
      </c>
      <c r="G50" s="77">
        <f>+E50+F50</f>
        <v>0</v>
      </c>
      <c r="H50" s="77">
        <f>+D50-G50</f>
        <v>73393.311679644044</v>
      </c>
      <c r="I50" s="77" t="s">
        <v>227</v>
      </c>
      <c r="J50" s="77" t="s">
        <v>228</v>
      </c>
      <c r="K50" s="81"/>
      <c r="L50" s="81"/>
      <c r="M50" s="81"/>
      <c r="N50" s="81">
        <f>50%*D50</f>
        <v>36696.655839822022</v>
      </c>
      <c r="O50" s="81"/>
      <c r="P50" s="81"/>
      <c r="Q50" s="75">
        <f>50%*D50</f>
        <v>36696.655839822022</v>
      </c>
      <c r="R50" s="75"/>
      <c r="S50" s="75"/>
      <c r="T50" s="75"/>
      <c r="U50" s="75"/>
      <c r="V50" s="75"/>
      <c r="W50" s="75"/>
      <c r="X50" s="75"/>
      <c r="Y50" s="75"/>
      <c r="Z50" s="75"/>
      <c r="AA50" s="75"/>
      <c r="AB50" s="75">
        <f t="shared" ref="AB50" si="29">SUM(K50:O50)</f>
        <v>36696.655839822022</v>
      </c>
      <c r="AC50" s="75">
        <f t="shared" ref="AC50" si="30">SUM(P50:U50)</f>
        <v>36696.655839822022</v>
      </c>
      <c r="AD50" s="75">
        <f t="shared" ref="AD50" si="31">SUM(V50:AA50)</f>
        <v>0</v>
      </c>
      <c r="AE50" s="75">
        <f t="shared" ref="AE50" si="32">+AB50+AC50+AD50</f>
        <v>73393.311679644044</v>
      </c>
      <c r="AF50" s="78">
        <f>100000*27%</f>
        <v>27000</v>
      </c>
    </row>
    <row r="51" spans="1:32" s="60" customFormat="1" x14ac:dyDescent="0.2">
      <c r="A51" s="88"/>
      <c r="B51" s="120" t="s">
        <v>191</v>
      </c>
      <c r="C51" s="78">
        <v>0</v>
      </c>
      <c r="D51" s="121">
        <v>0</v>
      </c>
      <c r="E51" s="122">
        <v>0</v>
      </c>
      <c r="F51" s="122">
        <v>0</v>
      </c>
      <c r="G51" s="122">
        <f>+E51+F51</f>
        <v>0</v>
      </c>
      <c r="H51" s="122">
        <f>+C51-G51</f>
        <v>0</v>
      </c>
      <c r="I51" s="75"/>
      <c r="J51" s="75"/>
      <c r="K51" s="75"/>
      <c r="L51" s="75"/>
      <c r="M51" s="75"/>
      <c r="N51" s="75"/>
      <c r="O51" s="75"/>
      <c r="P51" s="75"/>
      <c r="Q51" s="75"/>
      <c r="R51" s="75"/>
      <c r="S51" s="75"/>
      <c r="T51" s="75"/>
      <c r="U51" s="75"/>
      <c r="V51" s="75"/>
      <c r="W51" s="75"/>
      <c r="X51" s="75"/>
      <c r="Y51" s="75"/>
      <c r="Z51" s="75"/>
      <c r="AA51" s="75"/>
      <c r="AB51" s="75"/>
      <c r="AC51" s="75"/>
      <c r="AD51" s="75"/>
      <c r="AE51" s="75"/>
      <c r="AF51" s="109"/>
    </row>
    <row r="52" spans="1:32" ht="25.5" x14ac:dyDescent="0.2">
      <c r="A52" s="86" t="s">
        <v>122</v>
      </c>
      <c r="B52" s="59" t="s">
        <v>119</v>
      </c>
      <c r="C52" s="76">
        <f>SUM(C53:C55)</f>
        <v>219000</v>
      </c>
      <c r="D52" s="76">
        <f t="shared" ref="D52:H52" si="33">SUM(D53:D55)</f>
        <v>31221.997800000001</v>
      </c>
      <c r="E52" s="76">
        <f t="shared" si="33"/>
        <v>0</v>
      </c>
      <c r="F52" s="76">
        <f t="shared" si="33"/>
        <v>0</v>
      </c>
      <c r="G52" s="76">
        <f t="shared" si="33"/>
        <v>0</v>
      </c>
      <c r="H52" s="76">
        <f t="shared" si="33"/>
        <v>104221.9978</v>
      </c>
      <c r="I52" s="76"/>
      <c r="J52" s="76"/>
      <c r="K52" s="76"/>
      <c r="L52" s="76"/>
      <c r="M52" s="76"/>
      <c r="N52" s="76"/>
      <c r="O52" s="76"/>
      <c r="P52" s="76"/>
      <c r="Q52" s="76"/>
      <c r="R52" s="76"/>
      <c r="S52" s="76"/>
      <c r="T52" s="76"/>
      <c r="U52" s="76"/>
      <c r="V52" s="76"/>
      <c r="W52" s="76"/>
      <c r="X52" s="76"/>
      <c r="Y52" s="76"/>
      <c r="Z52" s="76"/>
      <c r="AA52" s="76"/>
      <c r="AB52" s="76">
        <f>SUM(AB53:AB55)</f>
        <v>0</v>
      </c>
      <c r="AC52" s="76">
        <f t="shared" ref="AC52:AE52" si="34">SUM(AC53:AC55)</f>
        <v>31221.997800000001</v>
      </c>
      <c r="AD52" s="76">
        <f t="shared" si="34"/>
        <v>0</v>
      </c>
      <c r="AE52" s="76">
        <f t="shared" si="34"/>
        <v>31221.997800000001</v>
      </c>
      <c r="AF52" s="76">
        <f>SUM(AF53:AF55)</f>
        <v>81000</v>
      </c>
    </row>
    <row r="53" spans="1:32" ht="25.5" x14ac:dyDescent="0.2">
      <c r="A53" s="87"/>
      <c r="B53" s="71" t="s">
        <v>231</v>
      </c>
      <c r="C53" s="78">
        <f>200000*73%</f>
        <v>146000</v>
      </c>
      <c r="D53" s="93">
        <f>42769.86*73%</f>
        <v>31221.997800000001</v>
      </c>
      <c r="E53" s="77">
        <v>0</v>
      </c>
      <c r="F53" s="77">
        <v>0</v>
      </c>
      <c r="G53" s="77">
        <f>+E53+F53</f>
        <v>0</v>
      </c>
      <c r="H53" s="77">
        <f>+D53-G53</f>
        <v>31221.997800000001</v>
      </c>
      <c r="I53" s="77" t="s">
        <v>215</v>
      </c>
      <c r="J53" s="77" t="s">
        <v>216</v>
      </c>
      <c r="K53" s="79"/>
      <c r="L53" s="79"/>
      <c r="M53" s="81"/>
      <c r="N53" s="81"/>
      <c r="O53" s="81"/>
      <c r="P53" s="75">
        <f>+D53</f>
        <v>31221.997800000001</v>
      </c>
      <c r="Q53" s="75"/>
      <c r="R53" s="75"/>
      <c r="S53" s="75"/>
      <c r="T53" s="75"/>
      <c r="U53" s="75"/>
      <c r="V53" s="75"/>
      <c r="W53" s="75"/>
      <c r="X53" s="75"/>
      <c r="Y53" s="75"/>
      <c r="Z53" s="75"/>
      <c r="AA53" s="75"/>
      <c r="AB53" s="75">
        <f t="shared" ref="AB53:AB54" si="35">SUM(K53:O53)</f>
        <v>0</v>
      </c>
      <c r="AC53" s="75">
        <f t="shared" ref="AC53:AC54" si="36">SUM(P53:U53)</f>
        <v>31221.997800000001</v>
      </c>
      <c r="AD53" s="75">
        <f t="shared" ref="AD53:AD54" si="37">SUM(V53:AA53)</f>
        <v>0</v>
      </c>
      <c r="AE53" s="75">
        <f t="shared" ref="AE53:AE54" si="38">+AB53+AC53+AD53</f>
        <v>31221.997800000001</v>
      </c>
      <c r="AF53" s="78">
        <f>200000*27%</f>
        <v>54000</v>
      </c>
    </row>
    <row r="54" spans="1:32" ht="51" x14ac:dyDescent="0.2">
      <c r="A54" s="87"/>
      <c r="B54" s="71" t="s">
        <v>229</v>
      </c>
      <c r="C54" s="78">
        <f>100000*73%</f>
        <v>73000</v>
      </c>
      <c r="D54" s="93">
        <v>0</v>
      </c>
      <c r="E54" s="77">
        <v>0</v>
      </c>
      <c r="F54" s="77">
        <v>0</v>
      </c>
      <c r="G54" s="77">
        <f>+E54+F54</f>
        <v>0</v>
      </c>
      <c r="H54" s="77">
        <f>+C54-G54</f>
        <v>73000</v>
      </c>
      <c r="I54" s="77" t="s">
        <v>230</v>
      </c>
      <c r="J54" s="77" t="s">
        <v>176</v>
      </c>
      <c r="K54" s="75"/>
      <c r="L54" s="75"/>
      <c r="M54" s="75"/>
      <c r="N54" s="75"/>
      <c r="O54" s="75"/>
      <c r="P54" s="75"/>
      <c r="Q54" s="75"/>
      <c r="R54" s="75"/>
      <c r="S54" s="75"/>
      <c r="T54" s="75"/>
      <c r="U54" s="75"/>
      <c r="V54" s="75"/>
      <c r="W54" s="75"/>
      <c r="X54" s="75"/>
      <c r="Y54" s="108"/>
      <c r="Z54" s="108"/>
      <c r="AA54" s="108"/>
      <c r="AB54" s="75">
        <f t="shared" si="35"/>
        <v>0</v>
      </c>
      <c r="AC54" s="75">
        <f t="shared" si="36"/>
        <v>0</v>
      </c>
      <c r="AD54" s="75">
        <f t="shared" si="37"/>
        <v>0</v>
      </c>
      <c r="AE54" s="75">
        <f t="shared" si="38"/>
        <v>0</v>
      </c>
      <c r="AF54" s="78">
        <f>100000*27%</f>
        <v>27000</v>
      </c>
    </row>
    <row r="55" spans="1:32" s="60" customFormat="1" x14ac:dyDescent="0.2">
      <c r="A55" s="88"/>
      <c r="B55" s="120" t="s">
        <v>191</v>
      </c>
      <c r="C55" s="78">
        <v>0</v>
      </c>
      <c r="D55" s="121">
        <v>0</v>
      </c>
      <c r="E55" s="122">
        <v>0</v>
      </c>
      <c r="F55" s="122">
        <v>0</v>
      </c>
      <c r="G55" s="122">
        <f>+E55+F55</f>
        <v>0</v>
      </c>
      <c r="H55" s="122">
        <f>+C55-G55</f>
        <v>0</v>
      </c>
      <c r="I55" s="75"/>
      <c r="J55" s="75"/>
      <c r="K55" s="75"/>
      <c r="L55" s="75"/>
      <c r="M55" s="75"/>
      <c r="N55" s="75"/>
      <c r="O55" s="75"/>
      <c r="P55" s="75"/>
      <c r="Q55" s="75"/>
      <c r="R55" s="75"/>
      <c r="S55" s="75"/>
      <c r="T55" s="75"/>
      <c r="U55" s="75"/>
      <c r="V55" s="75"/>
      <c r="W55" s="75"/>
      <c r="X55" s="75"/>
      <c r="Y55" s="75"/>
      <c r="Z55" s="75"/>
      <c r="AA55" s="75"/>
      <c r="AB55" s="75"/>
      <c r="AC55" s="75"/>
      <c r="AD55" s="75"/>
      <c r="AE55" s="75"/>
      <c r="AF55" s="109"/>
    </row>
    <row r="56" spans="1:32" x14ac:dyDescent="0.2">
      <c r="A56" s="86" t="s">
        <v>144</v>
      </c>
      <c r="B56" s="59" t="s">
        <v>120</v>
      </c>
      <c r="C56" s="76">
        <f>SUM(C57:C60)</f>
        <v>1561999.8</v>
      </c>
      <c r="D56" s="76">
        <f t="shared" ref="D56:H56" si="39">SUM(D57:D60)</f>
        <v>649700</v>
      </c>
      <c r="E56" s="76">
        <f t="shared" si="39"/>
        <v>345522.27</v>
      </c>
      <c r="F56" s="76">
        <f t="shared" si="39"/>
        <v>0</v>
      </c>
      <c r="G56" s="76">
        <f t="shared" si="39"/>
        <v>345522.27</v>
      </c>
      <c r="H56" s="76">
        <f t="shared" si="39"/>
        <v>1364136.73</v>
      </c>
      <c r="I56" s="76"/>
      <c r="J56" s="76"/>
      <c r="K56" s="76"/>
      <c r="L56" s="76"/>
      <c r="M56" s="76"/>
      <c r="N56" s="76"/>
      <c r="O56" s="76"/>
      <c r="P56" s="76"/>
      <c r="Q56" s="76"/>
      <c r="R56" s="76"/>
      <c r="S56" s="76"/>
      <c r="T56" s="76"/>
      <c r="U56" s="76"/>
      <c r="V56" s="76"/>
      <c r="W56" s="76"/>
      <c r="X56" s="76"/>
      <c r="Y56" s="76"/>
      <c r="Z56" s="76"/>
      <c r="AA56" s="76"/>
      <c r="AB56" s="76">
        <f>SUM(AB57:AB59)</f>
        <v>150612.26999999999</v>
      </c>
      <c r="AC56" s="76">
        <f t="shared" ref="AC56:AE56" si="40">SUM(AC57:AC59)</f>
        <v>45861</v>
      </c>
      <c r="AD56" s="76">
        <f t="shared" si="40"/>
        <v>54000</v>
      </c>
      <c r="AE56" s="76">
        <f t="shared" si="40"/>
        <v>250473.27</v>
      </c>
      <c r="AF56" s="76">
        <f>SUM(AF57:AF60)</f>
        <v>568000.19999999995</v>
      </c>
    </row>
    <row r="57" spans="1:32" ht="63.75" x14ac:dyDescent="0.2">
      <c r="A57" s="87"/>
      <c r="B57" s="71" t="s">
        <v>234</v>
      </c>
      <c r="C57" s="78">
        <f>627551*80%</f>
        <v>502040.80000000005</v>
      </c>
      <c r="D57" s="93">
        <f>812125*80%</f>
        <v>649700</v>
      </c>
      <c r="E57" s="77">
        <v>345522.27</v>
      </c>
      <c r="F57" s="77">
        <v>0</v>
      </c>
      <c r="G57" s="77">
        <f>+E57+F57</f>
        <v>345522.27</v>
      </c>
      <c r="H57" s="77">
        <f>+D57-G57</f>
        <v>304177.73</v>
      </c>
      <c r="I57" s="77" t="s">
        <v>220</v>
      </c>
      <c r="J57" s="77" t="s">
        <v>176</v>
      </c>
      <c r="K57" s="81"/>
      <c r="L57" s="81"/>
      <c r="M57" s="81"/>
      <c r="N57" s="81">
        <v>150612.26999999999</v>
      </c>
      <c r="O57" s="81"/>
      <c r="P57" s="81"/>
      <c r="Q57" s="81"/>
      <c r="R57" s="75">
        <v>45861</v>
      </c>
      <c r="S57" s="75"/>
      <c r="T57" s="75"/>
      <c r="U57" s="75"/>
      <c r="V57" s="75"/>
      <c r="W57" s="75"/>
      <c r="X57" s="75"/>
      <c r="Y57" s="75"/>
      <c r="Z57" s="75"/>
      <c r="AA57" s="75"/>
      <c r="AB57" s="75">
        <f t="shared" ref="AB57:AB59" si="41">SUM(K57:O57)</f>
        <v>150612.26999999999</v>
      </c>
      <c r="AC57" s="75">
        <f t="shared" ref="AC57:AC59" si="42">SUM(P57:U57)</f>
        <v>45861</v>
      </c>
      <c r="AD57" s="75">
        <f t="shared" ref="AD57:AD59" si="43">SUM(V57:AA57)</f>
        <v>0</v>
      </c>
      <c r="AE57" s="75">
        <f t="shared" ref="AE57:AE59" si="44">+AB57+AC57+AD57</f>
        <v>196473.27</v>
      </c>
      <c r="AF57" s="78">
        <f>627551*20%</f>
        <v>125510.20000000001</v>
      </c>
    </row>
    <row r="58" spans="1:32" ht="25.5" x14ac:dyDescent="0.2">
      <c r="A58" s="87"/>
      <c r="B58" s="71" t="s">
        <v>221</v>
      </c>
      <c r="C58" s="78">
        <f>70000*75%</f>
        <v>52500</v>
      </c>
      <c r="D58" s="93">
        <v>0</v>
      </c>
      <c r="E58" s="77">
        <v>0</v>
      </c>
      <c r="F58" s="77">
        <v>0</v>
      </c>
      <c r="G58" s="77">
        <f>+E58+F58</f>
        <v>0</v>
      </c>
      <c r="H58" s="77">
        <f>+C58-G58</f>
        <v>52500</v>
      </c>
      <c r="I58" s="77" t="s">
        <v>222</v>
      </c>
      <c r="J58" s="77" t="s">
        <v>223</v>
      </c>
      <c r="K58" s="75"/>
      <c r="L58" s="75"/>
      <c r="M58" s="108"/>
      <c r="N58" s="108"/>
      <c r="O58" s="108"/>
      <c r="P58" s="79"/>
      <c r="Q58" s="79"/>
      <c r="R58" s="79"/>
      <c r="S58" s="79"/>
      <c r="T58" s="79"/>
      <c r="U58" s="81"/>
      <c r="V58" s="81">
        <f>20%*C58</f>
        <v>10500</v>
      </c>
      <c r="W58" s="81"/>
      <c r="X58" s="81"/>
      <c r="Y58" s="81"/>
      <c r="Z58" s="81">
        <f>40%*C58</f>
        <v>21000</v>
      </c>
      <c r="AA58" s="81"/>
      <c r="AB58" s="75">
        <f t="shared" si="41"/>
        <v>0</v>
      </c>
      <c r="AC58" s="75">
        <f t="shared" si="42"/>
        <v>0</v>
      </c>
      <c r="AD58" s="75">
        <f t="shared" si="43"/>
        <v>31500</v>
      </c>
      <c r="AE58" s="75">
        <f t="shared" si="44"/>
        <v>31500</v>
      </c>
      <c r="AF58" s="78">
        <f>70000*25%</f>
        <v>17500</v>
      </c>
    </row>
    <row r="59" spans="1:32" ht="25.5" x14ac:dyDescent="0.2">
      <c r="A59" s="87"/>
      <c r="B59" s="71" t="s">
        <v>224</v>
      </c>
      <c r="C59" s="78">
        <f>50000*75%</f>
        <v>37500</v>
      </c>
      <c r="D59" s="93">
        <v>0</v>
      </c>
      <c r="E59" s="77">
        <v>0</v>
      </c>
      <c r="F59" s="77">
        <v>0</v>
      </c>
      <c r="G59" s="77">
        <f>+E59+F59</f>
        <v>0</v>
      </c>
      <c r="H59" s="77">
        <f>+C59-G59</f>
        <v>37500</v>
      </c>
      <c r="I59" s="77" t="s">
        <v>225</v>
      </c>
      <c r="J59" s="77" t="s">
        <v>226</v>
      </c>
      <c r="K59" s="75"/>
      <c r="L59" s="75"/>
      <c r="M59" s="108"/>
      <c r="N59" s="108"/>
      <c r="O59" s="108"/>
      <c r="P59" s="79"/>
      <c r="Q59" s="79"/>
      <c r="R59" s="79"/>
      <c r="S59" s="79"/>
      <c r="T59" s="79"/>
      <c r="U59" s="81"/>
      <c r="V59" s="81">
        <f>20%*C59</f>
        <v>7500</v>
      </c>
      <c r="W59" s="81"/>
      <c r="X59" s="81"/>
      <c r="Y59" s="81"/>
      <c r="Z59" s="81">
        <f>40%*C59</f>
        <v>15000</v>
      </c>
      <c r="AA59" s="81"/>
      <c r="AB59" s="75">
        <f t="shared" si="41"/>
        <v>0</v>
      </c>
      <c r="AC59" s="75">
        <f t="shared" si="42"/>
        <v>0</v>
      </c>
      <c r="AD59" s="75">
        <f t="shared" si="43"/>
        <v>22500</v>
      </c>
      <c r="AE59" s="75">
        <f t="shared" si="44"/>
        <v>22500</v>
      </c>
      <c r="AF59" s="78">
        <f>50000*25%</f>
        <v>12500</v>
      </c>
    </row>
    <row r="60" spans="1:32" x14ac:dyDescent="0.2">
      <c r="A60" s="88"/>
      <c r="B60" s="120" t="s">
        <v>191</v>
      </c>
      <c r="C60" s="78">
        <v>969959</v>
      </c>
      <c r="D60" s="121">
        <v>0</v>
      </c>
      <c r="E60" s="122">
        <v>0</v>
      </c>
      <c r="F60" s="122">
        <v>0</v>
      </c>
      <c r="G60" s="122">
        <f>+E60+F60</f>
        <v>0</v>
      </c>
      <c r="H60" s="122">
        <f>+C60-G60</f>
        <v>969959</v>
      </c>
      <c r="I60" s="77"/>
      <c r="J60" s="77"/>
      <c r="K60" s="75"/>
      <c r="L60" s="75"/>
      <c r="M60" s="75"/>
      <c r="N60" s="75"/>
      <c r="O60" s="75"/>
      <c r="P60" s="75"/>
      <c r="Q60" s="75"/>
      <c r="R60" s="75"/>
      <c r="S60" s="75"/>
      <c r="T60" s="75"/>
      <c r="U60" s="75"/>
      <c r="V60" s="75"/>
      <c r="W60" s="75"/>
      <c r="X60" s="75"/>
      <c r="Y60" s="75"/>
      <c r="Z60" s="75"/>
      <c r="AA60" s="75"/>
      <c r="AB60" s="75"/>
      <c r="AC60" s="75"/>
      <c r="AD60" s="75"/>
      <c r="AE60" s="75"/>
      <c r="AF60" s="78">
        <v>412490</v>
      </c>
    </row>
    <row r="61" spans="1:32" x14ac:dyDescent="0.2">
      <c r="A61" s="112"/>
      <c r="B61" s="113" t="s">
        <v>200</v>
      </c>
      <c r="C61" s="132">
        <v>147570.87</v>
      </c>
      <c r="D61" s="132"/>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32">
        <v>66909.689857780584</v>
      </c>
    </row>
    <row r="62" spans="1:32" x14ac:dyDescent="0.2">
      <c r="A62" s="112"/>
      <c r="B62" s="113" t="s">
        <v>199</v>
      </c>
      <c r="C62" s="132">
        <v>252429.13</v>
      </c>
      <c r="D62" s="132"/>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32">
        <v>33090.310142219416</v>
      </c>
    </row>
    <row r="63" spans="1:32" ht="25.5" x14ac:dyDescent="0.2">
      <c r="A63" s="89" t="s">
        <v>156</v>
      </c>
      <c r="B63" s="58" t="s">
        <v>123</v>
      </c>
      <c r="C63" s="95">
        <f>+C64+C68+C73</f>
        <v>672645</v>
      </c>
      <c r="D63" s="95">
        <f t="shared" ref="D63:H63" si="45">+D64+D68+D73</f>
        <v>60812.740000000005</v>
      </c>
      <c r="E63" s="95">
        <f t="shared" si="45"/>
        <v>406891</v>
      </c>
      <c r="F63" s="95">
        <f t="shared" si="45"/>
        <v>0</v>
      </c>
      <c r="G63" s="95">
        <f t="shared" si="45"/>
        <v>406891</v>
      </c>
      <c r="H63" s="95">
        <f t="shared" si="45"/>
        <v>223261.74</v>
      </c>
      <c r="I63" s="80"/>
      <c r="J63" s="80"/>
      <c r="K63" s="74"/>
      <c r="L63" s="74"/>
      <c r="M63" s="74"/>
      <c r="N63" s="74"/>
      <c r="O63" s="74"/>
      <c r="P63" s="74"/>
      <c r="Q63" s="74"/>
      <c r="R63" s="74"/>
      <c r="S63" s="74"/>
      <c r="T63" s="74"/>
      <c r="U63" s="74"/>
      <c r="V63" s="74"/>
      <c r="W63" s="74"/>
      <c r="X63" s="74"/>
      <c r="Y63" s="74"/>
      <c r="Z63" s="74"/>
      <c r="AA63" s="74"/>
      <c r="AB63" s="95">
        <f>+AB64+AB68+AB73</f>
        <v>47365.733000000007</v>
      </c>
      <c r="AC63" s="95">
        <f t="shared" ref="AC63:AE63" si="46">+AC64+AC68+AC73</f>
        <v>99362.54800000001</v>
      </c>
      <c r="AD63" s="95">
        <f t="shared" si="46"/>
        <v>28400</v>
      </c>
      <c r="AE63" s="95">
        <f t="shared" si="46"/>
        <v>175128.28100000002</v>
      </c>
      <c r="AF63" s="95">
        <f>+AF64+AF68+AF73-AF80-AF81</f>
        <v>1404059</v>
      </c>
    </row>
    <row r="64" spans="1:32" ht="25.5" x14ac:dyDescent="0.2">
      <c r="A64" s="86" t="s">
        <v>127</v>
      </c>
      <c r="B64" s="59" t="s">
        <v>124</v>
      </c>
      <c r="C64" s="76">
        <f>SUM(C65:C67)</f>
        <v>28000</v>
      </c>
      <c r="D64" s="76">
        <f t="shared" ref="D64:H64" si="47">SUM(D65:D67)</f>
        <v>0</v>
      </c>
      <c r="E64" s="76">
        <f t="shared" si="47"/>
        <v>0</v>
      </c>
      <c r="F64" s="76">
        <f t="shared" si="47"/>
        <v>0</v>
      </c>
      <c r="G64" s="76">
        <f t="shared" si="47"/>
        <v>0</v>
      </c>
      <c r="H64" s="76">
        <f t="shared" si="47"/>
        <v>28000</v>
      </c>
      <c r="I64" s="76"/>
      <c r="J64" s="76"/>
      <c r="K64" s="76"/>
      <c r="L64" s="76"/>
      <c r="M64" s="76"/>
      <c r="N64" s="76"/>
      <c r="O64" s="76"/>
      <c r="P64" s="76"/>
      <c r="Q64" s="76"/>
      <c r="R64" s="76"/>
      <c r="S64" s="76"/>
      <c r="T64" s="76"/>
      <c r="U64" s="76"/>
      <c r="V64" s="76"/>
      <c r="W64" s="76"/>
      <c r="X64" s="76"/>
      <c r="Y64" s="76"/>
      <c r="Z64" s="76"/>
      <c r="AA64" s="76"/>
      <c r="AB64" s="76">
        <f>SUM(AB65:AB67)</f>
        <v>2800</v>
      </c>
      <c r="AC64" s="76">
        <f t="shared" ref="AC64:AF64" si="48">SUM(AC65:AC67)</f>
        <v>11200</v>
      </c>
      <c r="AD64" s="76">
        <f t="shared" si="48"/>
        <v>14000</v>
      </c>
      <c r="AE64" s="76">
        <f t="shared" si="48"/>
        <v>28000</v>
      </c>
      <c r="AF64" s="76">
        <f t="shared" si="48"/>
        <v>112000</v>
      </c>
    </row>
    <row r="65" spans="1:32" s="60" customFormat="1" ht="38.25" x14ac:dyDescent="0.2">
      <c r="A65" s="88"/>
      <c r="B65" s="71" t="s">
        <v>242</v>
      </c>
      <c r="C65" s="75">
        <f>70000*20%</f>
        <v>14000</v>
      </c>
      <c r="D65" s="75">
        <v>0</v>
      </c>
      <c r="E65" s="77">
        <v>0</v>
      </c>
      <c r="F65" s="77">
        <v>0</v>
      </c>
      <c r="G65" s="77">
        <f>+E65+F65</f>
        <v>0</v>
      </c>
      <c r="H65" s="77">
        <f>+C65-G65</f>
        <v>14000</v>
      </c>
      <c r="I65" s="75" t="s">
        <v>243</v>
      </c>
      <c r="J65" s="75" t="s">
        <v>244</v>
      </c>
      <c r="K65" s="79"/>
      <c r="L65" s="79"/>
      <c r="M65" s="81"/>
      <c r="N65" s="81">
        <f>20%*C65</f>
        <v>2800</v>
      </c>
      <c r="O65" s="81"/>
      <c r="P65" s="81"/>
      <c r="Q65" s="81">
        <f>40%*C65</f>
        <v>5600</v>
      </c>
      <c r="R65" s="81"/>
      <c r="S65" s="75">
        <f>40%*C65</f>
        <v>5600</v>
      </c>
      <c r="T65" s="75"/>
      <c r="U65" s="75"/>
      <c r="V65" s="75"/>
      <c r="W65" s="75"/>
      <c r="X65" s="75"/>
      <c r="Y65" s="75"/>
      <c r="Z65" s="75"/>
      <c r="AA65" s="75"/>
      <c r="AB65" s="75">
        <f t="shared" ref="AB65" si="49">SUM(K65:O65)</f>
        <v>2800</v>
      </c>
      <c r="AC65" s="75">
        <f t="shared" ref="AC65" si="50">SUM(P65:U65)</f>
        <v>11200</v>
      </c>
      <c r="AD65" s="75">
        <f t="shared" ref="AD65" si="51">SUM(V65:AA65)</f>
        <v>0</v>
      </c>
      <c r="AE65" s="75">
        <f t="shared" ref="AE65" si="52">+AB65+AC65+AD65</f>
        <v>14000</v>
      </c>
      <c r="AF65" s="75">
        <f>70000*80%</f>
        <v>56000</v>
      </c>
    </row>
    <row r="66" spans="1:32" s="60" customFormat="1" ht="51" x14ac:dyDescent="0.2">
      <c r="A66" s="88"/>
      <c r="B66" s="71" t="s">
        <v>245</v>
      </c>
      <c r="C66" s="75">
        <f>70000*20%</f>
        <v>14000</v>
      </c>
      <c r="D66" s="75">
        <v>0</v>
      </c>
      <c r="E66" s="77">
        <v>0</v>
      </c>
      <c r="F66" s="77">
        <v>0</v>
      </c>
      <c r="G66" s="77">
        <f>+E66+F66</f>
        <v>0</v>
      </c>
      <c r="H66" s="77">
        <f>+C66-G66</f>
        <v>14000</v>
      </c>
      <c r="I66" s="75" t="s">
        <v>246</v>
      </c>
      <c r="J66" s="75" t="s">
        <v>176</v>
      </c>
      <c r="K66" s="75"/>
      <c r="L66" s="75"/>
      <c r="M66" s="108"/>
      <c r="N66" s="108"/>
      <c r="O66" s="108"/>
      <c r="P66" s="79"/>
      <c r="Q66" s="79"/>
      <c r="R66" s="79"/>
      <c r="S66" s="79"/>
      <c r="T66" s="79"/>
      <c r="U66" s="81"/>
      <c r="V66" s="81">
        <f>20%*C66</f>
        <v>2800</v>
      </c>
      <c r="W66" s="81"/>
      <c r="X66" s="81"/>
      <c r="Y66" s="81">
        <f>40%*C66</f>
        <v>5600</v>
      </c>
      <c r="Z66" s="81"/>
      <c r="AA66" s="75">
        <f>40%*C66</f>
        <v>5600</v>
      </c>
      <c r="AB66" s="75">
        <f t="shared" ref="AB66" si="53">SUM(K66:O66)</f>
        <v>0</v>
      </c>
      <c r="AC66" s="75">
        <f t="shared" ref="AC66" si="54">SUM(P66:U66)</f>
        <v>0</v>
      </c>
      <c r="AD66" s="75">
        <f t="shared" ref="AD66" si="55">SUM(V66:AA66)</f>
        <v>14000</v>
      </c>
      <c r="AE66" s="75">
        <f t="shared" ref="AE66" si="56">+AB66+AC66+AD66</f>
        <v>14000</v>
      </c>
      <c r="AF66" s="75">
        <f>70000*80%</f>
        <v>56000</v>
      </c>
    </row>
    <row r="67" spans="1:32" s="60" customFormat="1" x14ac:dyDescent="0.2">
      <c r="A67" s="88"/>
      <c r="B67" s="120" t="s">
        <v>191</v>
      </c>
      <c r="C67" s="75">
        <v>0</v>
      </c>
      <c r="D67" s="75"/>
      <c r="E67" s="75"/>
      <c r="F67" s="75"/>
      <c r="G67" s="75"/>
      <c r="H67" s="75"/>
      <c r="I67" s="75"/>
      <c r="J67" s="75"/>
      <c r="K67" s="75"/>
      <c r="L67" s="75"/>
      <c r="M67" s="75"/>
      <c r="N67" s="75"/>
      <c r="O67" s="75"/>
      <c r="P67" s="75"/>
      <c r="Q67" s="75"/>
      <c r="R67" s="75"/>
      <c r="S67" s="75"/>
      <c r="T67" s="75"/>
      <c r="U67" s="75"/>
      <c r="V67" s="75"/>
      <c r="W67" s="75"/>
      <c r="X67" s="75"/>
      <c r="Y67" s="75"/>
      <c r="Z67" s="75"/>
      <c r="AA67" s="75"/>
      <c r="AB67" s="75">
        <f t="shared" ref="AB67" si="57">SUM(K67:O67)</f>
        <v>0</v>
      </c>
      <c r="AC67" s="75">
        <f t="shared" ref="AC67" si="58">SUM(P67:U67)</f>
        <v>0</v>
      </c>
      <c r="AD67" s="75">
        <f t="shared" ref="AD67" si="59">SUM(V67:AA67)</f>
        <v>0</v>
      </c>
      <c r="AE67" s="75">
        <f t="shared" ref="AE67" si="60">+AB67+AC67+AD67</f>
        <v>0</v>
      </c>
      <c r="AF67" s="109"/>
    </row>
    <row r="68" spans="1:32" ht="25.5" x14ac:dyDescent="0.2">
      <c r="A68" s="86" t="s">
        <v>128</v>
      </c>
      <c r="B68" s="59" t="s">
        <v>125</v>
      </c>
      <c r="C68" s="76">
        <f>SUM(C69:C72)</f>
        <v>92600</v>
      </c>
      <c r="D68" s="76">
        <f t="shared" ref="D68:H68" si="61">SUM(D69:D72)</f>
        <v>60812.740000000005</v>
      </c>
      <c r="E68" s="76">
        <f t="shared" si="61"/>
        <v>45540</v>
      </c>
      <c r="F68" s="76">
        <f t="shared" si="61"/>
        <v>0</v>
      </c>
      <c r="G68" s="76">
        <f t="shared" si="61"/>
        <v>45540</v>
      </c>
      <c r="H68" s="76">
        <f t="shared" si="61"/>
        <v>28416.740000000005</v>
      </c>
      <c r="I68" s="76"/>
      <c r="J68" s="76"/>
      <c r="K68" s="76"/>
      <c r="L68" s="76"/>
      <c r="M68" s="76"/>
      <c r="N68" s="76"/>
      <c r="O68" s="76"/>
      <c r="P68" s="76"/>
      <c r="Q68" s="76"/>
      <c r="R68" s="76"/>
      <c r="S68" s="76"/>
      <c r="T68" s="76"/>
      <c r="U68" s="76"/>
      <c r="V68" s="76"/>
      <c r="W68" s="76"/>
      <c r="X68" s="76"/>
      <c r="Y68" s="76"/>
      <c r="Z68" s="76"/>
      <c r="AA68" s="76"/>
      <c r="AB68" s="76">
        <f>SUM(AB69:AB72)</f>
        <v>27365.733000000004</v>
      </c>
      <c r="AC68" s="76">
        <f t="shared" ref="AC68:AF68" si="62">SUM(AC69:AC72)</f>
        <v>12162.548000000003</v>
      </c>
      <c r="AD68" s="76">
        <f t="shared" si="62"/>
        <v>0</v>
      </c>
      <c r="AE68" s="76">
        <f t="shared" si="62"/>
        <v>39528.281000000003</v>
      </c>
      <c r="AF68" s="76">
        <f t="shared" si="62"/>
        <v>117400</v>
      </c>
    </row>
    <row r="69" spans="1:32" s="60" customFormat="1" ht="51" x14ac:dyDescent="0.2">
      <c r="A69" s="88"/>
      <c r="B69" s="71" t="s">
        <v>247</v>
      </c>
      <c r="C69" s="75">
        <f>170000*34%</f>
        <v>57800.000000000007</v>
      </c>
      <c r="D69" s="75">
        <f>178861*34%</f>
        <v>60812.740000000005</v>
      </c>
      <c r="E69" s="75">
        <v>32396</v>
      </c>
      <c r="F69" s="77">
        <v>0</v>
      </c>
      <c r="G69" s="77">
        <f>+E69+F69</f>
        <v>32396</v>
      </c>
      <c r="H69" s="77">
        <f>+D69-G69</f>
        <v>28416.740000000005</v>
      </c>
      <c r="I69" s="75" t="s">
        <v>238</v>
      </c>
      <c r="J69" s="75" t="s">
        <v>176</v>
      </c>
      <c r="K69" s="81"/>
      <c r="L69" s="81"/>
      <c r="M69" s="81"/>
      <c r="N69" s="81">
        <f>45%*D69</f>
        <v>27365.733000000004</v>
      </c>
      <c r="O69" s="81"/>
      <c r="P69" s="81"/>
      <c r="Q69" s="81"/>
      <c r="R69" s="81"/>
      <c r="S69" s="81"/>
      <c r="T69" s="81"/>
      <c r="U69" s="75">
        <f>20%*D69</f>
        <v>12162.548000000003</v>
      </c>
      <c r="V69" s="75"/>
      <c r="W69" s="75"/>
      <c r="X69" s="75"/>
      <c r="Y69" s="75"/>
      <c r="Z69" s="75"/>
      <c r="AA69" s="75"/>
      <c r="AB69" s="75">
        <f t="shared" ref="AB69" si="63">SUM(K69:O69)</f>
        <v>27365.733000000004</v>
      </c>
      <c r="AC69" s="75">
        <f t="shared" ref="AC69" si="64">SUM(P69:U69)</f>
        <v>12162.548000000003</v>
      </c>
      <c r="AD69" s="75">
        <f t="shared" ref="AD69" si="65">SUM(V69:AA69)</f>
        <v>0</v>
      </c>
      <c r="AE69" s="75">
        <f t="shared" ref="AE69" si="66">+AB69+AC69+AD69</f>
        <v>39528.281000000003</v>
      </c>
      <c r="AF69" s="75">
        <f>170000*66%</f>
        <v>112200</v>
      </c>
    </row>
    <row r="70" spans="1:32" s="60" customFormat="1" x14ac:dyDescent="0.2">
      <c r="A70" s="88"/>
      <c r="B70" s="120" t="s">
        <v>191</v>
      </c>
      <c r="C70" s="75">
        <v>0</v>
      </c>
      <c r="D70" s="121">
        <v>0</v>
      </c>
      <c r="E70" s="122">
        <v>0</v>
      </c>
      <c r="F70" s="122">
        <v>0</v>
      </c>
      <c r="G70" s="122">
        <f>+E70+F70</f>
        <v>0</v>
      </c>
      <c r="H70" s="122">
        <f>+C70-G70</f>
        <v>0</v>
      </c>
      <c r="I70" s="75"/>
      <c r="J70" s="75"/>
      <c r="K70" s="75"/>
      <c r="L70" s="75"/>
      <c r="M70" s="75"/>
      <c r="N70" s="75"/>
      <c r="O70" s="75"/>
      <c r="P70" s="75"/>
      <c r="Q70" s="75"/>
      <c r="R70" s="75"/>
      <c r="S70" s="75"/>
      <c r="T70" s="75"/>
      <c r="U70" s="75"/>
      <c r="V70" s="75"/>
      <c r="W70" s="75"/>
      <c r="X70" s="75"/>
      <c r="Y70" s="75"/>
      <c r="Z70" s="75"/>
      <c r="AA70" s="75"/>
      <c r="AB70" s="75">
        <f t="shared" ref="AB70" si="67">SUM(K70:O70)</f>
        <v>0</v>
      </c>
      <c r="AC70" s="75">
        <f t="shared" ref="AC70" si="68">SUM(P70:U70)</f>
        <v>0</v>
      </c>
      <c r="AD70" s="75">
        <f t="shared" ref="AD70" si="69">SUM(V70:AA70)</f>
        <v>0</v>
      </c>
      <c r="AE70" s="75">
        <f t="shared" ref="AE70" si="70">+AB70+AC70+AD70</f>
        <v>0</v>
      </c>
      <c r="AF70" s="109"/>
    </row>
    <row r="71" spans="1:32" s="60" customFormat="1" x14ac:dyDescent="0.2">
      <c r="A71" s="88"/>
      <c r="B71" s="120" t="s">
        <v>193</v>
      </c>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109"/>
    </row>
    <row r="72" spans="1:32" s="60" customFormat="1" x14ac:dyDescent="0.2">
      <c r="A72" s="88"/>
      <c r="B72" s="92" t="s">
        <v>249</v>
      </c>
      <c r="C72" s="78">
        <f>40000*87%</f>
        <v>34800</v>
      </c>
      <c r="D72" s="93" t="s">
        <v>192</v>
      </c>
      <c r="E72" s="75">
        <v>13144</v>
      </c>
      <c r="F72" s="77">
        <v>0</v>
      </c>
      <c r="G72" s="77">
        <f>+E72+F72</f>
        <v>13144</v>
      </c>
      <c r="H72" s="77">
        <v>0</v>
      </c>
      <c r="I72" s="75"/>
      <c r="J72" s="75"/>
      <c r="K72" s="75"/>
      <c r="L72" s="75"/>
      <c r="M72" s="75"/>
      <c r="N72" s="75"/>
      <c r="O72" s="75"/>
      <c r="P72" s="75"/>
      <c r="Q72" s="75"/>
      <c r="R72" s="75"/>
      <c r="S72" s="75"/>
      <c r="T72" s="75"/>
      <c r="U72" s="75"/>
      <c r="V72" s="75"/>
      <c r="W72" s="75"/>
      <c r="X72" s="75"/>
      <c r="Y72" s="75"/>
      <c r="Z72" s="75"/>
      <c r="AA72" s="75"/>
      <c r="AB72" s="75"/>
      <c r="AC72" s="75"/>
      <c r="AD72" s="75"/>
      <c r="AE72" s="75"/>
      <c r="AF72" s="78">
        <f>40000*13%</f>
        <v>5200</v>
      </c>
    </row>
    <row r="73" spans="1:32" ht="25.5" x14ac:dyDescent="0.2">
      <c r="A73" s="86" t="s">
        <v>145</v>
      </c>
      <c r="B73" s="59" t="s">
        <v>126</v>
      </c>
      <c r="C73" s="76">
        <f>SUM(C74:C79)</f>
        <v>552045</v>
      </c>
      <c r="D73" s="76">
        <f t="shared" ref="D73:H73" si="71">SUM(D74:D79)</f>
        <v>0</v>
      </c>
      <c r="E73" s="76">
        <f t="shared" si="71"/>
        <v>361351</v>
      </c>
      <c r="F73" s="76">
        <f t="shared" si="71"/>
        <v>0</v>
      </c>
      <c r="G73" s="76">
        <f t="shared" si="71"/>
        <v>361351</v>
      </c>
      <c r="H73" s="76">
        <f t="shared" si="71"/>
        <v>166845</v>
      </c>
      <c r="I73" s="76"/>
      <c r="J73" s="76"/>
      <c r="K73" s="76"/>
      <c r="L73" s="76"/>
      <c r="M73" s="76"/>
      <c r="N73" s="76"/>
      <c r="O73" s="76"/>
      <c r="P73" s="76"/>
      <c r="Q73" s="76"/>
      <c r="R73" s="76"/>
      <c r="S73" s="76"/>
      <c r="T73" s="76"/>
      <c r="U73" s="76"/>
      <c r="V73" s="76"/>
      <c r="W73" s="76"/>
      <c r="X73" s="76"/>
      <c r="Y73" s="76"/>
      <c r="Z73" s="76"/>
      <c r="AA73" s="76"/>
      <c r="AB73" s="76">
        <f>SUM(AB74:AB76)</f>
        <v>17200</v>
      </c>
      <c r="AC73" s="76">
        <f t="shared" ref="AC73:AF73" si="72">SUM(AC74:AC76)</f>
        <v>76000</v>
      </c>
      <c r="AD73" s="76">
        <f t="shared" si="72"/>
        <v>14400</v>
      </c>
      <c r="AE73" s="76">
        <f t="shared" si="72"/>
        <v>107600</v>
      </c>
      <c r="AF73" s="76">
        <f t="shared" si="72"/>
        <v>1355659</v>
      </c>
    </row>
    <row r="74" spans="1:32" s="60" customFormat="1" ht="25.5" x14ac:dyDescent="0.2">
      <c r="A74" s="88"/>
      <c r="B74" s="71" t="s">
        <v>235</v>
      </c>
      <c r="C74" s="75">
        <f>180000*20%</f>
        <v>36000</v>
      </c>
      <c r="D74" s="93">
        <v>0</v>
      </c>
      <c r="E74" s="77">
        <v>0</v>
      </c>
      <c r="F74" s="77">
        <v>0</v>
      </c>
      <c r="G74" s="77">
        <f>+E74+F74</f>
        <v>0</v>
      </c>
      <c r="H74" s="77">
        <f>+C74-G74</f>
        <v>36000</v>
      </c>
      <c r="I74" s="75" t="s">
        <v>236</v>
      </c>
      <c r="J74" s="75" t="s">
        <v>237</v>
      </c>
      <c r="K74" s="75"/>
      <c r="L74" s="75"/>
      <c r="M74" s="75"/>
      <c r="N74" s="75"/>
      <c r="O74" s="75"/>
      <c r="P74" s="75"/>
      <c r="Q74" s="81"/>
      <c r="R74" s="81">
        <f>20%*C74</f>
        <v>7200</v>
      </c>
      <c r="S74" s="81"/>
      <c r="T74" s="81"/>
      <c r="U74" s="81"/>
      <c r="V74" s="81"/>
      <c r="W74" s="81">
        <f>40%*C74</f>
        <v>14400</v>
      </c>
      <c r="X74" s="81"/>
      <c r="Y74" s="81"/>
      <c r="Z74" s="81"/>
      <c r="AA74" s="81"/>
      <c r="AB74" s="75">
        <f>SUM(K74:O74)</f>
        <v>0</v>
      </c>
      <c r="AC74" s="75">
        <f>SUM(P74:U74)</f>
        <v>7200</v>
      </c>
      <c r="AD74" s="75">
        <f>SUM(V74:AA74)</f>
        <v>14400</v>
      </c>
      <c r="AE74" s="75">
        <f>+AB74+AC74+AD74</f>
        <v>21600</v>
      </c>
      <c r="AF74" s="75">
        <f>180000*80%</f>
        <v>144000</v>
      </c>
    </row>
    <row r="75" spans="1:32" s="60" customFormat="1" ht="25.5" x14ac:dyDescent="0.2">
      <c r="A75" s="88"/>
      <c r="B75" s="71" t="s">
        <v>239</v>
      </c>
      <c r="C75" s="75">
        <f>430000*20%</f>
        <v>86000</v>
      </c>
      <c r="D75" s="75">
        <v>0</v>
      </c>
      <c r="E75" s="77">
        <v>0</v>
      </c>
      <c r="F75" s="77">
        <v>0</v>
      </c>
      <c r="G75" s="77">
        <f>+E75+F75</f>
        <v>0</v>
      </c>
      <c r="H75" s="77">
        <f>+C75-G75</f>
        <v>86000</v>
      </c>
      <c r="I75" s="75" t="s">
        <v>240</v>
      </c>
      <c r="J75" s="75" t="s">
        <v>241</v>
      </c>
      <c r="K75" s="79"/>
      <c r="L75" s="81"/>
      <c r="M75" s="81">
        <f>20%*C75</f>
        <v>17200</v>
      </c>
      <c r="N75" s="81"/>
      <c r="O75" s="81"/>
      <c r="P75" s="81"/>
      <c r="Q75" s="81">
        <f>40%*C75</f>
        <v>34400</v>
      </c>
      <c r="R75" s="81"/>
      <c r="S75" s="75">
        <f>40%*C75</f>
        <v>34400</v>
      </c>
      <c r="T75" s="75"/>
      <c r="U75" s="75"/>
      <c r="V75" s="75"/>
      <c r="W75" s="75"/>
      <c r="X75" s="75"/>
      <c r="Y75" s="75"/>
      <c r="Z75" s="75"/>
      <c r="AA75" s="75"/>
      <c r="AB75" s="75">
        <f>SUM(K75:O75)</f>
        <v>17200</v>
      </c>
      <c r="AC75" s="75">
        <f>SUM(P75:U75)</f>
        <v>68800</v>
      </c>
      <c r="AD75" s="75">
        <f>SUM(V75:AA75)</f>
        <v>0</v>
      </c>
      <c r="AE75" s="75">
        <f>+AB75+AC75+AD75</f>
        <v>86000</v>
      </c>
      <c r="AF75" s="75">
        <f>430000*80%</f>
        <v>344000</v>
      </c>
    </row>
    <row r="76" spans="1:32" s="60" customFormat="1" x14ac:dyDescent="0.2">
      <c r="A76" s="88"/>
      <c r="B76" s="120" t="s">
        <v>191</v>
      </c>
      <c r="C76" s="78">
        <f>187141-142296</f>
        <v>44845</v>
      </c>
      <c r="D76" s="121">
        <v>0</v>
      </c>
      <c r="E76" s="122">
        <v>0</v>
      </c>
      <c r="F76" s="122">
        <v>0</v>
      </c>
      <c r="G76" s="122">
        <f>+E76+F76</f>
        <v>0</v>
      </c>
      <c r="H76" s="122">
        <f>+C76-G76</f>
        <v>44845</v>
      </c>
      <c r="I76" s="75"/>
      <c r="J76" s="75"/>
      <c r="K76" s="75"/>
      <c r="L76" s="75"/>
      <c r="M76" s="75"/>
      <c r="N76" s="75"/>
      <c r="O76" s="75"/>
      <c r="P76" s="75"/>
      <c r="Q76" s="75"/>
      <c r="R76" s="75"/>
      <c r="S76" s="75"/>
      <c r="T76" s="75"/>
      <c r="U76" s="75"/>
      <c r="V76" s="75"/>
      <c r="W76" s="75"/>
      <c r="X76" s="75"/>
      <c r="Y76" s="75"/>
      <c r="Z76" s="75"/>
      <c r="AA76" s="75"/>
      <c r="AB76" s="75">
        <f>SUM(K76:O76)</f>
        <v>0</v>
      </c>
      <c r="AC76" s="75">
        <f>SUM(P76:U76)</f>
        <v>0</v>
      </c>
      <c r="AD76" s="75">
        <f>SUM(V76:AA76)</f>
        <v>0</v>
      </c>
      <c r="AE76" s="75">
        <f>+AB76+AC76+AD76</f>
        <v>0</v>
      </c>
      <c r="AF76" s="75">
        <v>867659</v>
      </c>
    </row>
    <row r="77" spans="1:32" s="60" customFormat="1" x14ac:dyDescent="0.2">
      <c r="A77" s="88"/>
      <c r="B77" s="120" t="s">
        <v>193</v>
      </c>
      <c r="C77" s="78"/>
      <c r="D77" s="78"/>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row>
    <row r="78" spans="1:32" s="60" customFormat="1" x14ac:dyDescent="0.2">
      <c r="A78" s="88"/>
      <c r="B78" s="92" t="s">
        <v>248</v>
      </c>
      <c r="C78" s="78">
        <v>90000</v>
      </c>
      <c r="D78" s="93" t="s">
        <v>192</v>
      </c>
      <c r="E78" s="75">
        <v>42442</v>
      </c>
      <c r="F78" s="77">
        <v>0</v>
      </c>
      <c r="G78" s="77">
        <f t="shared" ref="G78:G79" si="73">+E78+F78</f>
        <v>42442</v>
      </c>
      <c r="H78" s="75">
        <v>0</v>
      </c>
      <c r="I78" s="75"/>
      <c r="J78" s="75"/>
      <c r="K78" s="75"/>
      <c r="L78" s="75"/>
      <c r="M78" s="75"/>
      <c r="N78" s="75"/>
      <c r="O78" s="75"/>
      <c r="P78" s="75"/>
      <c r="Q78" s="75"/>
      <c r="R78" s="75"/>
      <c r="S78" s="75"/>
      <c r="T78" s="75"/>
      <c r="U78" s="75"/>
      <c r="V78" s="75"/>
      <c r="W78" s="75"/>
      <c r="X78" s="75"/>
      <c r="Y78" s="75"/>
      <c r="Z78" s="75"/>
      <c r="AA78" s="75"/>
      <c r="AB78" s="75"/>
      <c r="AC78" s="75"/>
      <c r="AD78" s="75"/>
      <c r="AE78" s="75"/>
      <c r="AF78" s="75">
        <v>10000</v>
      </c>
    </row>
    <row r="79" spans="1:32" s="60" customFormat="1" x14ac:dyDescent="0.2">
      <c r="A79" s="88"/>
      <c r="B79" s="92" t="s">
        <v>250</v>
      </c>
      <c r="C79" s="78">
        <f>410000*72%</f>
        <v>295200</v>
      </c>
      <c r="D79" s="93" t="s">
        <v>192</v>
      </c>
      <c r="E79" s="75">
        <v>318909</v>
      </c>
      <c r="F79" s="77">
        <v>0</v>
      </c>
      <c r="G79" s="77">
        <f t="shared" si="73"/>
        <v>318909</v>
      </c>
      <c r="H79" s="75">
        <v>0</v>
      </c>
      <c r="I79" s="75"/>
      <c r="J79" s="75"/>
      <c r="K79" s="75"/>
      <c r="L79" s="75"/>
      <c r="M79" s="75"/>
      <c r="N79" s="75"/>
      <c r="O79" s="75"/>
      <c r="P79" s="75"/>
      <c r="Q79" s="75"/>
      <c r="R79" s="75"/>
      <c r="S79" s="75"/>
      <c r="T79" s="75"/>
      <c r="U79" s="75"/>
      <c r="V79" s="75"/>
      <c r="W79" s="75"/>
      <c r="X79" s="75"/>
      <c r="Y79" s="75"/>
      <c r="Z79" s="75"/>
      <c r="AA79" s="75"/>
      <c r="AB79" s="75"/>
      <c r="AC79" s="75"/>
      <c r="AD79" s="75"/>
      <c r="AE79" s="75"/>
      <c r="AF79" s="75">
        <f>410000*28%</f>
        <v>114800.00000000001</v>
      </c>
    </row>
    <row r="80" spans="1:32" s="60" customFormat="1" x14ac:dyDescent="0.2">
      <c r="A80" s="112"/>
      <c r="B80" s="113" t="s">
        <v>200</v>
      </c>
      <c r="C80" s="131">
        <v>142295.37000000002</v>
      </c>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v>15299.410000000002</v>
      </c>
    </row>
    <row r="81" spans="1:32" s="60" customFormat="1" x14ac:dyDescent="0.2">
      <c r="A81" s="112"/>
      <c r="B81" s="113" t="s">
        <v>199</v>
      </c>
      <c r="C81" s="131">
        <v>0</v>
      </c>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v>165700.59</v>
      </c>
    </row>
    <row r="82" spans="1:32" x14ac:dyDescent="0.2">
      <c r="A82" s="90">
        <v>2</v>
      </c>
      <c r="B82" s="57" t="s">
        <v>129</v>
      </c>
      <c r="C82" s="82">
        <f t="shared" ref="C82:H82" si="74">+C83+C96+C105+C113+C121</f>
        <v>3124148</v>
      </c>
      <c r="D82" s="82">
        <f t="shared" si="74"/>
        <v>190082.19760909089</v>
      </c>
      <c r="E82" s="82">
        <f t="shared" si="74"/>
        <v>84616.459999999992</v>
      </c>
      <c r="F82" s="82">
        <f t="shared" si="74"/>
        <v>0</v>
      </c>
      <c r="G82" s="82">
        <f t="shared" si="74"/>
        <v>84616.459999999992</v>
      </c>
      <c r="H82" s="82">
        <f t="shared" si="74"/>
        <v>4471866.1976090912</v>
      </c>
      <c r="I82" s="82"/>
      <c r="J82" s="82"/>
      <c r="K82" s="91"/>
      <c r="L82" s="91"/>
      <c r="M82" s="91"/>
      <c r="N82" s="91"/>
      <c r="O82" s="91"/>
      <c r="P82" s="91"/>
      <c r="Q82" s="91"/>
      <c r="R82" s="91"/>
      <c r="S82" s="91"/>
      <c r="T82" s="91"/>
      <c r="U82" s="91"/>
      <c r="V82" s="91"/>
      <c r="W82" s="91"/>
      <c r="X82" s="91"/>
      <c r="Y82" s="91"/>
      <c r="Z82" s="91"/>
      <c r="AA82" s="91"/>
      <c r="AB82" s="82">
        <f>+AB83+AB96+AB105+AB113+AB121</f>
        <v>90867.49715818181</v>
      </c>
      <c r="AC82" s="82">
        <f>+AC83+AC96+AC105+AC113+AC121</f>
        <v>207766.45968</v>
      </c>
      <c r="AD82" s="82">
        <f>+AD83+AD96+AD105+AD113+AD121</f>
        <v>436596.33283999999</v>
      </c>
      <c r="AE82" s="82">
        <f>+AE83+AE96+AE105+AE113+AE121</f>
        <v>735230.28967818175</v>
      </c>
      <c r="AF82" s="82">
        <f>+AF83+AF96+AF105+AF113+AF121</f>
        <v>2433652.3899999997</v>
      </c>
    </row>
    <row r="83" spans="1:32" x14ac:dyDescent="0.2">
      <c r="A83" s="85" t="s">
        <v>157</v>
      </c>
      <c r="B83" s="58" t="s">
        <v>130</v>
      </c>
      <c r="C83" s="74">
        <f>+C84</f>
        <v>1236900</v>
      </c>
      <c r="D83" s="74">
        <f t="shared" ref="D83:H83" si="75">+D84</f>
        <v>3668</v>
      </c>
      <c r="E83" s="74">
        <f t="shared" si="75"/>
        <v>40163.46</v>
      </c>
      <c r="F83" s="74">
        <f t="shared" si="75"/>
        <v>0</v>
      </c>
      <c r="G83" s="74">
        <f t="shared" si="75"/>
        <v>40163.46</v>
      </c>
      <c r="H83" s="74">
        <f t="shared" si="75"/>
        <v>1967627</v>
      </c>
      <c r="I83" s="74"/>
      <c r="J83" s="74"/>
      <c r="K83" s="74"/>
      <c r="L83" s="74"/>
      <c r="M83" s="74"/>
      <c r="N83" s="74"/>
      <c r="O83" s="74"/>
      <c r="P83" s="74"/>
      <c r="Q83" s="74"/>
      <c r="R83" s="74"/>
      <c r="S83" s="74"/>
      <c r="T83" s="74"/>
      <c r="U83" s="74"/>
      <c r="V83" s="74"/>
      <c r="W83" s="74"/>
      <c r="X83" s="74"/>
      <c r="Y83" s="74"/>
      <c r="Z83" s="74"/>
      <c r="AA83" s="74"/>
      <c r="AB83" s="74">
        <f t="shared" ref="AB83:AF83" si="76">+AB84</f>
        <v>0</v>
      </c>
      <c r="AC83" s="74">
        <f t="shared" si="76"/>
        <v>1800</v>
      </c>
      <c r="AD83" s="74">
        <f t="shared" si="76"/>
        <v>158550</v>
      </c>
      <c r="AE83" s="74">
        <f t="shared" si="76"/>
        <v>160350</v>
      </c>
      <c r="AF83" s="74">
        <f t="shared" si="76"/>
        <v>1216600</v>
      </c>
    </row>
    <row r="84" spans="1:32" ht="25.5" x14ac:dyDescent="0.2">
      <c r="A84" s="86" t="s">
        <v>75</v>
      </c>
      <c r="B84" s="59" t="s">
        <v>151</v>
      </c>
      <c r="C84" s="76">
        <f>SUM(C85:C93)-C94-C95</f>
        <v>1236900</v>
      </c>
      <c r="D84" s="76">
        <f>SUM(D85:D93)-D94-D95</f>
        <v>3668</v>
      </c>
      <c r="E84" s="76">
        <f t="shared" ref="E84:H84" si="77">SUM(E85:E93)-E94-E95</f>
        <v>40163.46</v>
      </c>
      <c r="F84" s="76">
        <f t="shared" si="77"/>
        <v>0</v>
      </c>
      <c r="G84" s="76">
        <f t="shared" si="77"/>
        <v>40163.46</v>
      </c>
      <c r="H84" s="76">
        <f t="shared" si="77"/>
        <v>1967627</v>
      </c>
      <c r="I84" s="76"/>
      <c r="J84" s="76"/>
      <c r="K84" s="76"/>
      <c r="L84" s="76"/>
      <c r="M84" s="76"/>
      <c r="N84" s="76"/>
      <c r="O84" s="76"/>
      <c r="P84" s="76"/>
      <c r="Q84" s="76"/>
      <c r="R84" s="76"/>
      <c r="S84" s="76"/>
      <c r="T84" s="76"/>
      <c r="U84" s="76"/>
      <c r="V84" s="76"/>
      <c r="W84" s="76"/>
      <c r="X84" s="76"/>
      <c r="Y84" s="76"/>
      <c r="Z84" s="76"/>
      <c r="AA84" s="76"/>
      <c r="AB84" s="76">
        <f>SUM(AB85:AB89)</f>
        <v>0</v>
      </c>
      <c r="AC84" s="76">
        <f>SUM(AC85:AC89)</f>
        <v>1800</v>
      </c>
      <c r="AD84" s="76">
        <f>SUM(AD85:AD89)</f>
        <v>158550</v>
      </c>
      <c r="AE84" s="76">
        <f>SUM(AE85:AE89)</f>
        <v>160350</v>
      </c>
      <c r="AF84" s="76">
        <f>SUM(AF85:AF93)-AF94-AF95</f>
        <v>1216600</v>
      </c>
    </row>
    <row r="85" spans="1:32" s="60" customFormat="1" ht="25.5" x14ac:dyDescent="0.2">
      <c r="A85" s="88"/>
      <c r="B85" s="73" t="s">
        <v>251</v>
      </c>
      <c r="C85" s="78">
        <f>57%*260000</f>
        <v>148200</v>
      </c>
      <c r="D85" s="93">
        <v>0</v>
      </c>
      <c r="E85" s="77">
        <v>0</v>
      </c>
      <c r="F85" s="77">
        <v>0</v>
      </c>
      <c r="G85" s="77">
        <f t="shared" ref="G85:G90" si="78">+E85+F85</f>
        <v>0</v>
      </c>
      <c r="H85" s="77">
        <f>+C85-G85</f>
        <v>148200</v>
      </c>
      <c r="I85" s="75" t="s">
        <v>252</v>
      </c>
      <c r="J85" s="75" t="s">
        <v>253</v>
      </c>
      <c r="K85" s="75"/>
      <c r="L85" s="108"/>
      <c r="M85" s="108"/>
      <c r="N85" s="108"/>
      <c r="O85" s="79"/>
      <c r="P85" s="79"/>
      <c r="Q85" s="79"/>
      <c r="R85" s="81"/>
      <c r="S85" s="81"/>
      <c r="T85" s="81"/>
      <c r="U85" s="81"/>
      <c r="V85" s="81"/>
      <c r="W85" s="75">
        <f>+C85</f>
        <v>148200</v>
      </c>
      <c r="X85" s="75"/>
      <c r="Y85" s="75"/>
      <c r="Z85" s="75"/>
      <c r="AA85" s="75"/>
      <c r="AB85" s="75">
        <f t="shared" ref="AB85:AB88" si="79">SUM(K85:O85)</f>
        <v>0</v>
      </c>
      <c r="AC85" s="75">
        <f t="shared" ref="AC85:AC88" si="80">SUM(P85:U85)</f>
        <v>0</v>
      </c>
      <c r="AD85" s="75">
        <f t="shared" ref="AD85:AD88" si="81">SUM(V85:AA85)</f>
        <v>148200</v>
      </c>
      <c r="AE85" s="75">
        <f t="shared" ref="AE85:AE88" si="82">+AB85+AC85+AD85</f>
        <v>148200</v>
      </c>
      <c r="AF85" s="75">
        <f>43%*260000</f>
        <v>111800</v>
      </c>
    </row>
    <row r="86" spans="1:32" s="60" customFormat="1" ht="25.5" x14ac:dyDescent="0.2">
      <c r="A86" s="88"/>
      <c r="B86" s="73" t="s">
        <v>194</v>
      </c>
      <c r="C86" s="78">
        <v>9000</v>
      </c>
      <c r="D86" s="93">
        <v>0</v>
      </c>
      <c r="E86" s="77">
        <v>0</v>
      </c>
      <c r="F86" s="77">
        <v>0</v>
      </c>
      <c r="G86" s="77">
        <f t="shared" si="78"/>
        <v>0</v>
      </c>
      <c r="H86" s="77">
        <f>+C86-G86</f>
        <v>9000</v>
      </c>
      <c r="I86" s="75" t="s">
        <v>203</v>
      </c>
      <c r="J86" s="75" t="s">
        <v>176</v>
      </c>
      <c r="K86" s="75"/>
      <c r="L86" s="75"/>
      <c r="M86" s="75"/>
      <c r="N86" s="108"/>
      <c r="O86" s="108"/>
      <c r="P86" s="108"/>
      <c r="Q86" s="79"/>
      <c r="R86" s="79"/>
      <c r="S86" s="79"/>
      <c r="T86" s="81"/>
      <c r="U86" s="81">
        <f>20%*C86</f>
        <v>1800</v>
      </c>
      <c r="V86" s="81"/>
      <c r="W86" s="81"/>
      <c r="X86" s="81"/>
      <c r="Y86" s="81">
        <f>40%*C86</f>
        <v>3600</v>
      </c>
      <c r="Z86" s="81"/>
      <c r="AA86" s="81"/>
      <c r="AB86" s="75">
        <f t="shared" si="79"/>
        <v>0</v>
      </c>
      <c r="AC86" s="75">
        <f t="shared" si="80"/>
        <v>1800</v>
      </c>
      <c r="AD86" s="75">
        <f t="shared" si="81"/>
        <v>3600</v>
      </c>
      <c r="AE86" s="75">
        <f t="shared" si="82"/>
        <v>5400</v>
      </c>
      <c r="AF86" s="75">
        <v>1000</v>
      </c>
    </row>
    <row r="87" spans="1:32" s="60" customFormat="1" ht="38.25" x14ac:dyDescent="0.2">
      <c r="A87" s="88"/>
      <c r="B87" s="73" t="s">
        <v>204</v>
      </c>
      <c r="C87" s="78">
        <f>15000*75%</f>
        <v>11250</v>
      </c>
      <c r="D87" s="93">
        <v>0</v>
      </c>
      <c r="E87" s="77">
        <v>0</v>
      </c>
      <c r="F87" s="77">
        <v>0</v>
      </c>
      <c r="G87" s="77">
        <f t="shared" si="78"/>
        <v>0</v>
      </c>
      <c r="H87" s="77">
        <f>+C87-G87</f>
        <v>11250</v>
      </c>
      <c r="I87" s="75" t="s">
        <v>205</v>
      </c>
      <c r="J87" s="75" t="s">
        <v>206</v>
      </c>
      <c r="K87" s="75"/>
      <c r="L87" s="75"/>
      <c r="M87" s="108"/>
      <c r="N87" s="108"/>
      <c r="O87" s="108"/>
      <c r="P87" s="79"/>
      <c r="Q87" s="79"/>
      <c r="R87" s="79"/>
      <c r="S87" s="79"/>
      <c r="T87" s="79"/>
      <c r="U87" s="81"/>
      <c r="V87" s="81">
        <f>20%*C87</f>
        <v>2250</v>
      </c>
      <c r="W87" s="81"/>
      <c r="X87" s="81"/>
      <c r="Y87" s="81"/>
      <c r="Z87" s="81">
        <f>40%*C87</f>
        <v>4500</v>
      </c>
      <c r="AA87" s="81"/>
      <c r="AB87" s="75">
        <f t="shared" si="79"/>
        <v>0</v>
      </c>
      <c r="AC87" s="75">
        <f t="shared" si="80"/>
        <v>0</v>
      </c>
      <c r="AD87" s="75">
        <f t="shared" si="81"/>
        <v>6750</v>
      </c>
      <c r="AE87" s="75">
        <f t="shared" si="82"/>
        <v>6750</v>
      </c>
      <c r="AF87" s="75">
        <f>15000*25%</f>
        <v>3750</v>
      </c>
    </row>
    <row r="88" spans="1:32" s="60" customFormat="1" ht="25.5" x14ac:dyDescent="0.2">
      <c r="A88" s="88"/>
      <c r="B88" s="73" t="s">
        <v>254</v>
      </c>
      <c r="C88" s="78">
        <f>4400000*19%</f>
        <v>836000</v>
      </c>
      <c r="D88" s="93">
        <v>0</v>
      </c>
      <c r="E88" s="77">
        <v>0</v>
      </c>
      <c r="F88" s="77">
        <v>0</v>
      </c>
      <c r="G88" s="77">
        <f t="shared" si="78"/>
        <v>0</v>
      </c>
      <c r="H88" s="77">
        <f>+C88-G88</f>
        <v>836000</v>
      </c>
      <c r="I88" s="75" t="s">
        <v>255</v>
      </c>
      <c r="J88" s="75" t="s">
        <v>256</v>
      </c>
      <c r="K88" s="79"/>
      <c r="L88" s="79"/>
      <c r="M88" s="79"/>
      <c r="N88" s="79"/>
      <c r="O88" s="81"/>
      <c r="P88" s="81"/>
      <c r="Q88" s="81"/>
      <c r="R88" s="81"/>
      <c r="S88" s="81"/>
      <c r="T88" s="81"/>
      <c r="U88" s="81"/>
      <c r="V88" s="81"/>
      <c r="W88" s="81"/>
      <c r="X88" s="81"/>
      <c r="Y88" s="81"/>
      <c r="Z88" s="81"/>
      <c r="AA88" s="81"/>
      <c r="AB88" s="75">
        <f t="shared" si="79"/>
        <v>0</v>
      </c>
      <c r="AC88" s="75">
        <f t="shared" si="80"/>
        <v>0</v>
      </c>
      <c r="AD88" s="75">
        <f t="shared" si="81"/>
        <v>0</v>
      </c>
      <c r="AE88" s="75">
        <f t="shared" si="82"/>
        <v>0</v>
      </c>
      <c r="AF88" s="75">
        <v>1123500</v>
      </c>
    </row>
    <row r="89" spans="1:32" s="60" customFormat="1" x14ac:dyDescent="0.2">
      <c r="A89" s="88"/>
      <c r="B89" s="73" t="s">
        <v>259</v>
      </c>
      <c r="C89" s="78">
        <v>0</v>
      </c>
      <c r="D89" s="93">
        <v>3668</v>
      </c>
      <c r="E89" s="77">
        <v>541</v>
      </c>
      <c r="F89" s="77">
        <v>0</v>
      </c>
      <c r="G89" s="77">
        <f t="shared" si="78"/>
        <v>541</v>
      </c>
      <c r="H89" s="77">
        <f>+D89-G89</f>
        <v>3127</v>
      </c>
      <c r="I89" s="75"/>
      <c r="J89" s="75"/>
      <c r="K89" s="75"/>
      <c r="L89" s="75"/>
      <c r="M89" s="75"/>
      <c r="N89" s="75"/>
      <c r="O89" s="75"/>
      <c r="P89" s="75"/>
      <c r="Q89" s="75"/>
      <c r="R89" s="75"/>
      <c r="S89" s="75"/>
      <c r="T89" s="75"/>
      <c r="U89" s="75"/>
      <c r="V89" s="75"/>
      <c r="W89" s="75"/>
      <c r="X89" s="75"/>
      <c r="Y89" s="75"/>
      <c r="Z89" s="75"/>
      <c r="AA89" s="75"/>
      <c r="AB89" s="75">
        <f t="shared" ref="AB89" si="83">SUM(K89:O89)</f>
        <v>0</v>
      </c>
      <c r="AC89" s="75">
        <f t="shared" ref="AC89" si="84">SUM(P89:U89)</f>
        <v>0</v>
      </c>
      <c r="AD89" s="75">
        <f t="shared" ref="AD89" si="85">SUM(V89:AA89)</f>
        <v>0</v>
      </c>
      <c r="AE89" s="75">
        <f t="shared" ref="AE89" si="86">+AB89+AC89+AD89</f>
        <v>0</v>
      </c>
      <c r="AF89" s="75">
        <v>0</v>
      </c>
    </row>
    <row r="90" spans="1:32" s="60" customFormat="1" x14ac:dyDescent="0.2">
      <c r="A90" s="88"/>
      <c r="B90" s="120" t="s">
        <v>191</v>
      </c>
      <c r="C90" s="78">
        <v>960050</v>
      </c>
      <c r="D90" s="121">
        <v>0</v>
      </c>
      <c r="E90" s="122">
        <v>0</v>
      </c>
      <c r="F90" s="122">
        <v>0</v>
      </c>
      <c r="G90" s="122">
        <f t="shared" si="78"/>
        <v>0</v>
      </c>
      <c r="H90" s="122">
        <f>+C90-G90</f>
        <v>960050</v>
      </c>
      <c r="I90" s="75"/>
      <c r="J90" s="75"/>
      <c r="K90" s="75"/>
      <c r="L90" s="75"/>
      <c r="M90" s="75"/>
      <c r="N90" s="75"/>
      <c r="O90" s="75"/>
      <c r="P90" s="75"/>
      <c r="Q90" s="75"/>
      <c r="R90" s="75"/>
      <c r="S90" s="75"/>
      <c r="T90" s="75"/>
      <c r="U90" s="75"/>
      <c r="V90" s="75"/>
      <c r="W90" s="75"/>
      <c r="X90" s="75"/>
      <c r="Y90" s="75"/>
      <c r="Z90" s="75"/>
      <c r="AA90" s="75"/>
      <c r="AB90" s="75">
        <f t="shared" ref="AB90" si="87">SUM(K90:O90)</f>
        <v>0</v>
      </c>
      <c r="AC90" s="75">
        <f t="shared" ref="AC90" si="88">SUM(P90:U90)</f>
        <v>0</v>
      </c>
      <c r="AD90" s="75">
        <f t="shared" ref="AD90" si="89">SUM(V90:AA90)</f>
        <v>0</v>
      </c>
      <c r="AE90" s="75">
        <f t="shared" ref="AE90" si="90">+AB90+AC90+AD90</f>
        <v>0</v>
      </c>
      <c r="AF90" s="75">
        <v>247950</v>
      </c>
    </row>
    <row r="91" spans="1:32" s="60" customFormat="1" x14ac:dyDescent="0.2">
      <c r="A91" s="88"/>
      <c r="B91" s="120" t="s">
        <v>193</v>
      </c>
      <c r="C91" s="78"/>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row>
    <row r="92" spans="1:32" s="60" customFormat="1" x14ac:dyDescent="0.2">
      <c r="A92" s="88"/>
      <c r="B92" s="73" t="s">
        <v>257</v>
      </c>
      <c r="C92" s="78">
        <f>70000*75%</f>
        <v>52500</v>
      </c>
      <c r="D92" s="93" t="s">
        <v>192</v>
      </c>
      <c r="E92" s="75">
        <v>17472.46</v>
      </c>
      <c r="F92" s="77">
        <v>0</v>
      </c>
      <c r="G92" s="77">
        <f>+E92+F92</f>
        <v>17472.46</v>
      </c>
      <c r="H92" s="75">
        <v>0</v>
      </c>
      <c r="I92" s="75"/>
      <c r="J92" s="75"/>
      <c r="K92" s="75"/>
      <c r="L92" s="75"/>
      <c r="M92" s="75"/>
      <c r="N92" s="75"/>
      <c r="O92" s="75"/>
      <c r="P92" s="75"/>
      <c r="Q92" s="75"/>
      <c r="R92" s="75"/>
      <c r="S92" s="75"/>
      <c r="T92" s="75"/>
      <c r="U92" s="75"/>
      <c r="V92" s="75"/>
      <c r="W92" s="75"/>
      <c r="X92" s="75"/>
      <c r="Y92" s="75"/>
      <c r="Z92" s="75"/>
      <c r="AA92" s="75"/>
      <c r="AB92" s="75"/>
      <c r="AC92" s="75"/>
      <c r="AD92" s="75"/>
      <c r="AE92" s="75"/>
      <c r="AF92" s="75">
        <f>70000*25%</f>
        <v>17500</v>
      </c>
    </row>
    <row r="93" spans="1:32" s="60" customFormat="1" x14ac:dyDescent="0.2">
      <c r="A93" s="88"/>
      <c r="B93" s="73" t="s">
        <v>258</v>
      </c>
      <c r="C93" s="78">
        <f>60000*60%</f>
        <v>36000</v>
      </c>
      <c r="D93" s="93" t="s">
        <v>192</v>
      </c>
      <c r="E93" s="75">
        <v>22150</v>
      </c>
      <c r="F93" s="77">
        <v>0</v>
      </c>
      <c r="G93" s="77">
        <f>+E93+F93</f>
        <v>22150</v>
      </c>
      <c r="H93" s="75">
        <v>0</v>
      </c>
      <c r="I93" s="75"/>
      <c r="J93" s="75"/>
      <c r="K93" s="75"/>
      <c r="L93" s="75"/>
      <c r="M93" s="75"/>
      <c r="N93" s="75"/>
      <c r="O93" s="75"/>
      <c r="P93" s="75"/>
      <c r="Q93" s="75"/>
      <c r="R93" s="75"/>
      <c r="S93" s="75"/>
      <c r="T93" s="75"/>
      <c r="U93" s="75"/>
      <c r="V93" s="75"/>
      <c r="W93" s="75"/>
      <c r="X93" s="75"/>
      <c r="Y93" s="75"/>
      <c r="Z93" s="75"/>
      <c r="AA93" s="75"/>
      <c r="AB93" s="75"/>
      <c r="AC93" s="75"/>
      <c r="AD93" s="75"/>
      <c r="AE93" s="75"/>
      <c r="AF93" s="75">
        <f>60000*40%</f>
        <v>24000</v>
      </c>
    </row>
    <row r="94" spans="1:32" s="60" customFormat="1" x14ac:dyDescent="0.2">
      <c r="A94" s="117"/>
      <c r="B94" s="113" t="s">
        <v>200</v>
      </c>
      <c r="C94" s="131">
        <v>213031.96000000002</v>
      </c>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v>57019.53</v>
      </c>
    </row>
    <row r="95" spans="1:32" s="60" customFormat="1" x14ac:dyDescent="0.2">
      <c r="A95" s="117"/>
      <c r="B95" s="113" t="s">
        <v>199</v>
      </c>
      <c r="C95" s="131">
        <v>603068.04</v>
      </c>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v>255880.47</v>
      </c>
    </row>
    <row r="96" spans="1:32" x14ac:dyDescent="0.2">
      <c r="A96" s="85" t="s">
        <v>158</v>
      </c>
      <c r="B96" s="58" t="s">
        <v>131</v>
      </c>
      <c r="C96" s="74">
        <f>+C97+C100-C104</f>
        <v>624400</v>
      </c>
      <c r="D96" s="74">
        <f t="shared" ref="D96:H96" si="91">+D97+D100-D104</f>
        <v>0</v>
      </c>
      <c r="E96" s="74">
        <f t="shared" si="91"/>
        <v>0</v>
      </c>
      <c r="F96" s="74">
        <f t="shared" si="91"/>
        <v>0</v>
      </c>
      <c r="G96" s="74">
        <f t="shared" si="91"/>
        <v>0</v>
      </c>
      <c r="H96" s="74">
        <f t="shared" si="91"/>
        <v>774800</v>
      </c>
      <c r="I96" s="74"/>
      <c r="J96" s="74"/>
      <c r="K96" s="74"/>
      <c r="L96" s="74"/>
      <c r="M96" s="74"/>
      <c r="N96" s="74"/>
      <c r="O96" s="74"/>
      <c r="P96" s="74"/>
      <c r="Q96" s="74"/>
      <c r="R96" s="74"/>
      <c r="S96" s="74"/>
      <c r="T96" s="74"/>
      <c r="U96" s="74"/>
      <c r="V96" s="74"/>
      <c r="W96" s="74"/>
      <c r="X96" s="74"/>
      <c r="Y96" s="74"/>
      <c r="Z96" s="74"/>
      <c r="AA96" s="74"/>
      <c r="AB96" s="74">
        <f>+AB97+AB100</f>
        <v>3600</v>
      </c>
      <c r="AC96" s="74">
        <f>+AC97+AC100</f>
        <v>48720</v>
      </c>
      <c r="AD96" s="74">
        <f>+AD97+AD100</f>
        <v>68640</v>
      </c>
      <c r="AE96" s="74">
        <f>+AE97+AE100</f>
        <v>120960</v>
      </c>
      <c r="AF96" s="74">
        <f>+AF97+AF100-AF104-AF103</f>
        <v>115600.39</v>
      </c>
    </row>
    <row r="97" spans="1:33" ht="25.5" x14ac:dyDescent="0.2">
      <c r="A97" s="86" t="s">
        <v>76</v>
      </c>
      <c r="B97" s="59" t="s">
        <v>132</v>
      </c>
      <c r="C97" s="76">
        <f>SUM(C98:C99)</f>
        <v>18000</v>
      </c>
      <c r="D97" s="76">
        <f t="shared" ref="D97:H97" si="92">SUM(D98:D99)</f>
        <v>0</v>
      </c>
      <c r="E97" s="76">
        <f t="shared" si="92"/>
        <v>0</v>
      </c>
      <c r="F97" s="76">
        <f t="shared" si="92"/>
        <v>0</v>
      </c>
      <c r="G97" s="76">
        <f t="shared" si="92"/>
        <v>0</v>
      </c>
      <c r="H97" s="76">
        <f t="shared" si="92"/>
        <v>18000</v>
      </c>
      <c r="I97" s="76"/>
      <c r="J97" s="76"/>
      <c r="K97" s="76"/>
      <c r="L97" s="76"/>
      <c r="M97" s="76"/>
      <c r="N97" s="76"/>
      <c r="O97" s="76"/>
      <c r="P97" s="76"/>
      <c r="Q97" s="76"/>
      <c r="R97" s="76"/>
      <c r="S97" s="76"/>
      <c r="T97" s="76"/>
      <c r="U97" s="76"/>
      <c r="V97" s="76"/>
      <c r="W97" s="76"/>
      <c r="X97" s="76"/>
      <c r="Y97" s="76"/>
      <c r="Z97" s="76"/>
      <c r="AA97" s="76"/>
      <c r="AB97" s="76">
        <f>SUM(AB98:AB99)</f>
        <v>3600</v>
      </c>
      <c r="AC97" s="76">
        <f>SUM(AC98:AC99)</f>
        <v>14400</v>
      </c>
      <c r="AD97" s="76">
        <f>SUM(AD98:AD99)</f>
        <v>0</v>
      </c>
      <c r="AE97" s="76">
        <f>SUM(AE98:AE99)</f>
        <v>18000</v>
      </c>
      <c r="AF97" s="76">
        <f>SUM(AF98:AF99)</f>
        <v>6000</v>
      </c>
    </row>
    <row r="98" spans="1:33" s="60" customFormat="1" ht="25.5" x14ac:dyDescent="0.2">
      <c r="A98" s="88"/>
      <c r="B98" s="71" t="s">
        <v>263</v>
      </c>
      <c r="C98" s="75">
        <f>24000*75%</f>
        <v>18000</v>
      </c>
      <c r="D98" s="93">
        <v>0</v>
      </c>
      <c r="E98" s="77">
        <v>0</v>
      </c>
      <c r="F98" s="77">
        <v>0</v>
      </c>
      <c r="G98" s="77">
        <f>+E98+F98</f>
        <v>0</v>
      </c>
      <c r="H98" s="77">
        <f>+C98-G98</f>
        <v>18000</v>
      </c>
      <c r="I98" s="75" t="s">
        <v>264</v>
      </c>
      <c r="J98" s="75" t="s">
        <v>265</v>
      </c>
      <c r="K98" s="79"/>
      <c r="L98" s="79"/>
      <c r="M98" s="81"/>
      <c r="N98" s="81"/>
      <c r="O98" s="81">
        <f>20%*C98</f>
        <v>3600</v>
      </c>
      <c r="P98" s="81"/>
      <c r="Q98" s="81"/>
      <c r="R98" s="81">
        <f>40%*C98</f>
        <v>7200</v>
      </c>
      <c r="S98" s="75"/>
      <c r="T98" s="75">
        <f>40%*C98</f>
        <v>7200</v>
      </c>
      <c r="U98" s="75"/>
      <c r="V98" s="75"/>
      <c r="W98" s="75"/>
      <c r="X98" s="75"/>
      <c r="Y98" s="75"/>
      <c r="Z98" s="75"/>
      <c r="AA98" s="75"/>
      <c r="AB98" s="75">
        <f t="shared" ref="AB98:AB99" si="93">SUM(K98:O98)</f>
        <v>3600</v>
      </c>
      <c r="AC98" s="75">
        <f t="shared" ref="AC98:AC99" si="94">SUM(P98:U98)</f>
        <v>14400</v>
      </c>
      <c r="AD98" s="75">
        <f t="shared" ref="AD98:AD99" si="95">SUM(V98:AA98)</f>
        <v>0</v>
      </c>
      <c r="AE98" s="75">
        <f t="shared" ref="AE98:AE99" si="96">+AB98+AC98+AD98</f>
        <v>18000</v>
      </c>
      <c r="AF98" s="75">
        <f>24000*25%</f>
        <v>6000</v>
      </c>
    </row>
    <row r="99" spans="1:33" s="60" customFormat="1" x14ac:dyDescent="0.2">
      <c r="A99" s="88"/>
      <c r="B99" s="120" t="s">
        <v>191</v>
      </c>
      <c r="C99" s="75">
        <v>0</v>
      </c>
      <c r="D99" s="121">
        <v>0</v>
      </c>
      <c r="E99" s="122">
        <v>0</v>
      </c>
      <c r="F99" s="122">
        <v>0</v>
      </c>
      <c r="G99" s="122">
        <f>+E99+F99</f>
        <v>0</v>
      </c>
      <c r="H99" s="122">
        <f>+C99-G99</f>
        <v>0</v>
      </c>
      <c r="I99" s="75"/>
      <c r="J99" s="75"/>
      <c r="K99" s="75"/>
      <c r="L99" s="75"/>
      <c r="M99" s="75"/>
      <c r="N99" s="75"/>
      <c r="O99" s="75"/>
      <c r="P99" s="75"/>
      <c r="Q99" s="75"/>
      <c r="R99" s="75"/>
      <c r="S99" s="75"/>
      <c r="T99" s="75"/>
      <c r="U99" s="75"/>
      <c r="V99" s="75"/>
      <c r="W99" s="75"/>
      <c r="X99" s="75"/>
      <c r="Y99" s="75"/>
      <c r="Z99" s="75"/>
      <c r="AA99" s="75"/>
      <c r="AB99" s="75">
        <f t="shared" si="93"/>
        <v>0</v>
      </c>
      <c r="AC99" s="75">
        <f t="shared" si="94"/>
        <v>0</v>
      </c>
      <c r="AD99" s="75">
        <f t="shared" si="95"/>
        <v>0</v>
      </c>
      <c r="AE99" s="75">
        <f t="shared" si="96"/>
        <v>0</v>
      </c>
      <c r="AF99" s="109"/>
    </row>
    <row r="100" spans="1:33" ht="76.5" x14ac:dyDescent="0.2">
      <c r="A100" s="86" t="s">
        <v>146</v>
      </c>
      <c r="B100" s="59" t="s">
        <v>133</v>
      </c>
      <c r="C100" s="84">
        <f>SUM(C101:C102)</f>
        <v>756800</v>
      </c>
      <c r="D100" s="84">
        <f t="shared" ref="D100:H100" si="97">SUM(D101:D102)</f>
        <v>0</v>
      </c>
      <c r="E100" s="84">
        <f t="shared" si="97"/>
        <v>0</v>
      </c>
      <c r="F100" s="84">
        <f t="shared" si="97"/>
        <v>0</v>
      </c>
      <c r="G100" s="84">
        <f t="shared" si="97"/>
        <v>0</v>
      </c>
      <c r="H100" s="84">
        <f t="shared" si="97"/>
        <v>756800</v>
      </c>
      <c r="I100" s="76"/>
      <c r="J100" s="76"/>
      <c r="K100" s="76"/>
      <c r="L100" s="76"/>
      <c r="M100" s="76"/>
      <c r="N100" s="76"/>
      <c r="O100" s="76"/>
      <c r="P100" s="76"/>
      <c r="Q100" s="76"/>
      <c r="R100" s="76"/>
      <c r="S100" s="76"/>
      <c r="T100" s="76"/>
      <c r="U100" s="76"/>
      <c r="V100" s="76"/>
      <c r="W100" s="76"/>
      <c r="X100" s="76"/>
      <c r="Y100" s="76"/>
      <c r="Z100" s="76"/>
      <c r="AA100" s="76"/>
      <c r="AB100" s="84">
        <f>SUM(AB101:AB102)</f>
        <v>0</v>
      </c>
      <c r="AC100" s="84">
        <f>SUM(AC101:AC102)</f>
        <v>34320</v>
      </c>
      <c r="AD100" s="84">
        <f>SUM(AD101:AD102)</f>
        <v>68640</v>
      </c>
      <c r="AE100" s="84">
        <f>SUM(AE101:AE102)</f>
        <v>102960</v>
      </c>
      <c r="AF100" s="84">
        <f>SUM(AF101:AF102)</f>
        <v>215200</v>
      </c>
    </row>
    <row r="101" spans="1:33" s="60" customFormat="1" ht="25.5" x14ac:dyDescent="0.2">
      <c r="A101" s="88"/>
      <c r="B101" s="71" t="s">
        <v>260</v>
      </c>
      <c r="C101" s="78">
        <f>220000*78%</f>
        <v>171600</v>
      </c>
      <c r="D101" s="93">
        <v>0</v>
      </c>
      <c r="E101" s="77">
        <v>0</v>
      </c>
      <c r="F101" s="77">
        <v>0</v>
      </c>
      <c r="G101" s="77">
        <f>+E101+F101</f>
        <v>0</v>
      </c>
      <c r="H101" s="77">
        <f>+C101-G101</f>
        <v>171600</v>
      </c>
      <c r="I101" s="75" t="s">
        <v>261</v>
      </c>
      <c r="J101" s="75" t="s">
        <v>262</v>
      </c>
      <c r="K101" s="79"/>
      <c r="L101" s="79"/>
      <c r="M101" s="79"/>
      <c r="N101" s="79"/>
      <c r="O101" s="81"/>
      <c r="P101" s="81"/>
      <c r="Q101" s="81">
        <f>20%*C101</f>
        <v>34320</v>
      </c>
      <c r="R101" s="81"/>
      <c r="S101" s="81"/>
      <c r="T101" s="81"/>
      <c r="U101" s="81"/>
      <c r="V101" s="81"/>
      <c r="W101" s="81">
        <f>40%*C101</f>
        <v>68640</v>
      </c>
      <c r="X101" s="81"/>
      <c r="Y101" s="81"/>
      <c r="Z101" s="81"/>
      <c r="AA101" s="81"/>
      <c r="AB101" s="75">
        <f t="shared" ref="AB101:AB102" si="98">SUM(K101:O101)</f>
        <v>0</v>
      </c>
      <c r="AC101" s="75">
        <f t="shared" ref="AC101:AC102" si="99">SUM(P101:U101)</f>
        <v>34320</v>
      </c>
      <c r="AD101" s="75">
        <f t="shared" ref="AD101:AD102" si="100">SUM(V101:AA101)</f>
        <v>68640</v>
      </c>
      <c r="AE101" s="75">
        <f t="shared" ref="AE101:AE102" si="101">+AB101+AC101+AD101</f>
        <v>102960</v>
      </c>
      <c r="AF101" s="78">
        <f>220000*22%</f>
        <v>48400</v>
      </c>
    </row>
    <row r="102" spans="1:33" s="60" customFormat="1" x14ac:dyDescent="0.2">
      <c r="A102" s="88"/>
      <c r="B102" s="120" t="s">
        <v>191</v>
      </c>
      <c r="C102" s="78">
        <v>585200</v>
      </c>
      <c r="D102" s="121">
        <v>0</v>
      </c>
      <c r="E102" s="122">
        <v>0</v>
      </c>
      <c r="F102" s="122">
        <v>0</v>
      </c>
      <c r="G102" s="122">
        <f>+E102+F102</f>
        <v>0</v>
      </c>
      <c r="H102" s="122">
        <f>+C102-G102</f>
        <v>585200</v>
      </c>
      <c r="I102" s="75"/>
      <c r="J102" s="75"/>
      <c r="K102" s="75"/>
      <c r="L102" s="75"/>
      <c r="M102" s="75"/>
      <c r="N102" s="75"/>
      <c r="O102" s="75"/>
      <c r="P102" s="75"/>
      <c r="Q102" s="75"/>
      <c r="R102" s="75"/>
      <c r="S102" s="75"/>
      <c r="T102" s="75"/>
      <c r="U102" s="75"/>
      <c r="V102" s="75"/>
      <c r="W102" s="75"/>
      <c r="X102" s="75"/>
      <c r="Y102" s="75"/>
      <c r="Z102" s="75"/>
      <c r="AA102" s="75"/>
      <c r="AB102" s="75">
        <f t="shared" si="98"/>
        <v>0</v>
      </c>
      <c r="AC102" s="75">
        <f t="shared" si="99"/>
        <v>0</v>
      </c>
      <c r="AD102" s="75">
        <f t="shared" si="100"/>
        <v>0</v>
      </c>
      <c r="AE102" s="75">
        <f t="shared" si="101"/>
        <v>0</v>
      </c>
      <c r="AF102" s="78">
        <v>166800</v>
      </c>
    </row>
    <row r="103" spans="1:33" s="60" customFormat="1" x14ac:dyDescent="0.2">
      <c r="A103" s="117"/>
      <c r="B103" s="113" t="s">
        <v>200</v>
      </c>
      <c r="C103" s="131">
        <v>0</v>
      </c>
      <c r="D103" s="131"/>
      <c r="E103" s="131"/>
      <c r="F103" s="131"/>
      <c r="G103" s="131"/>
      <c r="H103" s="131"/>
      <c r="I103" s="118"/>
      <c r="J103" s="118"/>
      <c r="K103" s="118"/>
      <c r="L103" s="118"/>
      <c r="M103" s="118"/>
      <c r="N103" s="118"/>
      <c r="O103" s="118"/>
      <c r="P103" s="118"/>
      <c r="Q103" s="118"/>
      <c r="R103" s="118"/>
      <c r="S103" s="118"/>
      <c r="T103" s="118"/>
      <c r="U103" s="118"/>
      <c r="V103" s="118"/>
      <c r="W103" s="118"/>
      <c r="X103" s="118"/>
      <c r="Y103" s="118"/>
      <c r="Z103" s="118"/>
      <c r="AA103" s="118"/>
      <c r="AB103" s="131"/>
      <c r="AC103" s="131"/>
      <c r="AD103" s="131"/>
      <c r="AE103" s="131"/>
      <c r="AF103" s="131">
        <v>1436.61</v>
      </c>
    </row>
    <row r="104" spans="1:33" s="60" customFormat="1" x14ac:dyDescent="0.2">
      <c r="A104" s="117"/>
      <c r="B104" s="113" t="s">
        <v>199</v>
      </c>
      <c r="C104" s="131">
        <v>150400</v>
      </c>
      <c r="D104" s="131"/>
      <c r="E104" s="131"/>
      <c r="F104" s="131"/>
      <c r="G104" s="131"/>
      <c r="H104" s="131"/>
      <c r="I104" s="118"/>
      <c r="J104" s="118"/>
      <c r="K104" s="118"/>
      <c r="L104" s="118"/>
      <c r="M104" s="118"/>
      <c r="N104" s="118"/>
      <c r="O104" s="118"/>
      <c r="P104" s="118"/>
      <c r="Q104" s="118"/>
      <c r="R104" s="118"/>
      <c r="S104" s="118"/>
      <c r="T104" s="118"/>
      <c r="U104" s="118"/>
      <c r="V104" s="118"/>
      <c r="W104" s="118"/>
      <c r="X104" s="118"/>
      <c r="Y104" s="118"/>
      <c r="Z104" s="118"/>
      <c r="AA104" s="118"/>
      <c r="AB104" s="131"/>
      <c r="AC104" s="131"/>
      <c r="AD104" s="131"/>
      <c r="AE104" s="131"/>
      <c r="AF104" s="131">
        <v>104163</v>
      </c>
    </row>
    <row r="105" spans="1:33" ht="25.5" x14ac:dyDescent="0.2">
      <c r="A105" s="89" t="s">
        <v>159</v>
      </c>
      <c r="B105" s="58" t="s">
        <v>134</v>
      </c>
      <c r="C105" s="80">
        <f>+C106</f>
        <v>668970</v>
      </c>
      <c r="D105" s="80">
        <f t="shared" ref="D105:H105" si="102">+D106</f>
        <v>110031.66419999998</v>
      </c>
      <c r="E105" s="80">
        <f t="shared" si="102"/>
        <v>21704</v>
      </c>
      <c r="F105" s="80">
        <f t="shared" si="102"/>
        <v>0</v>
      </c>
      <c r="G105" s="80">
        <f t="shared" si="102"/>
        <v>21704</v>
      </c>
      <c r="H105" s="80">
        <f t="shared" si="102"/>
        <v>814027.6642</v>
      </c>
      <c r="I105" s="80"/>
      <c r="J105" s="80"/>
      <c r="K105" s="74"/>
      <c r="L105" s="74"/>
      <c r="M105" s="74"/>
      <c r="N105" s="74"/>
      <c r="O105" s="74"/>
      <c r="P105" s="74"/>
      <c r="Q105" s="74"/>
      <c r="R105" s="74"/>
      <c r="S105" s="74"/>
      <c r="T105" s="74"/>
      <c r="U105" s="74"/>
      <c r="V105" s="74"/>
      <c r="W105" s="74"/>
      <c r="X105" s="74"/>
      <c r="Y105" s="74"/>
      <c r="Z105" s="74"/>
      <c r="AA105" s="74"/>
      <c r="AB105" s="80">
        <f t="shared" ref="AB105:AF105" si="103">+AB106</f>
        <v>22006.332839999999</v>
      </c>
      <c r="AC105" s="80">
        <f t="shared" si="103"/>
        <v>44012.665679999998</v>
      </c>
      <c r="AD105" s="80">
        <f t="shared" si="103"/>
        <v>22006.332839999999</v>
      </c>
      <c r="AE105" s="80">
        <f t="shared" si="103"/>
        <v>88025.331359999996</v>
      </c>
      <c r="AF105" s="80">
        <f t="shared" si="103"/>
        <v>285530</v>
      </c>
    </row>
    <row r="106" spans="1:33" ht="25.5" x14ac:dyDescent="0.2">
      <c r="A106" s="86" t="s">
        <v>147</v>
      </c>
      <c r="B106" s="59" t="s">
        <v>135</v>
      </c>
      <c r="C106" s="76">
        <f>SUM(C107:C110)-C111-C112</f>
        <v>668970</v>
      </c>
      <c r="D106" s="76">
        <f>SUM(D107:D110)</f>
        <v>110031.66419999998</v>
      </c>
      <c r="E106" s="76">
        <f>SUM(E107:E110)</f>
        <v>21704</v>
      </c>
      <c r="F106" s="76">
        <f>SUM(F107:F110)</f>
        <v>0</v>
      </c>
      <c r="G106" s="76">
        <f>SUM(G107:G110)</f>
        <v>21704</v>
      </c>
      <c r="H106" s="76">
        <f>SUM(H107:H110)</f>
        <v>814027.6642</v>
      </c>
      <c r="I106" s="76"/>
      <c r="J106" s="76"/>
      <c r="K106" s="76"/>
      <c r="L106" s="76"/>
      <c r="M106" s="76"/>
      <c r="N106" s="76"/>
      <c r="O106" s="76"/>
      <c r="P106" s="76"/>
      <c r="Q106" s="76"/>
      <c r="R106" s="76"/>
      <c r="S106" s="76"/>
      <c r="T106" s="76"/>
      <c r="U106" s="76"/>
      <c r="V106" s="76"/>
      <c r="W106" s="76"/>
      <c r="X106" s="76"/>
      <c r="Y106" s="76"/>
      <c r="Z106" s="76"/>
      <c r="AA106" s="76"/>
      <c r="AB106" s="76">
        <f>SUM(AB107:AB110)</f>
        <v>22006.332839999999</v>
      </c>
      <c r="AC106" s="76">
        <f>SUM(AC107:AC110)</f>
        <v>44012.665679999998</v>
      </c>
      <c r="AD106" s="76">
        <f>SUM(AD107:AD110)</f>
        <v>22006.332839999999</v>
      </c>
      <c r="AE106" s="76">
        <f>SUM(AE107:AE110)</f>
        <v>88025.331359999996</v>
      </c>
      <c r="AF106" s="76">
        <f>SUM(AF107:AF110)-AF111-AF112</f>
        <v>285530</v>
      </c>
    </row>
    <row r="107" spans="1:33" ht="38.25" x14ac:dyDescent="0.2">
      <c r="A107" s="88"/>
      <c r="B107" s="73" t="s">
        <v>266</v>
      </c>
      <c r="C107" s="78">
        <f>61700*75%</f>
        <v>46275</v>
      </c>
      <c r="D107" s="93">
        <v>0</v>
      </c>
      <c r="E107" s="77">
        <v>0</v>
      </c>
      <c r="F107" s="77">
        <v>0</v>
      </c>
      <c r="G107" s="77">
        <f>+E107+F107</f>
        <v>0</v>
      </c>
      <c r="H107" s="77">
        <f>+C107-G107</f>
        <v>46275</v>
      </c>
      <c r="I107" s="75" t="s">
        <v>267</v>
      </c>
      <c r="J107" s="75" t="s">
        <v>176</v>
      </c>
      <c r="K107" s="133"/>
      <c r="L107" s="75"/>
      <c r="M107" s="75"/>
      <c r="N107" s="75"/>
      <c r="O107" s="75"/>
      <c r="P107" s="75"/>
      <c r="Q107" s="75"/>
      <c r="R107" s="75"/>
      <c r="S107" s="75"/>
      <c r="T107" s="75"/>
      <c r="U107" s="75"/>
      <c r="V107" s="75"/>
      <c r="W107" s="75"/>
      <c r="X107" s="75"/>
      <c r="Y107" s="75"/>
      <c r="Z107" s="79"/>
      <c r="AA107" s="79"/>
      <c r="AB107" s="75">
        <f t="shared" ref="AB107:AB108" si="104">SUM(K107:O107)</f>
        <v>0</v>
      </c>
      <c r="AC107" s="75">
        <f t="shared" ref="AC107:AC108" si="105">SUM(P107:U107)</f>
        <v>0</v>
      </c>
      <c r="AD107" s="75">
        <f t="shared" ref="AD107:AD108" si="106">SUM(V107:AA107)</f>
        <v>0</v>
      </c>
      <c r="AE107" s="75">
        <f t="shared" ref="AE107:AE108" si="107">+AB107+AC107+AD107</f>
        <v>0</v>
      </c>
      <c r="AF107" s="78">
        <f>61700*25%</f>
        <v>15425</v>
      </c>
      <c r="AG107" s="60"/>
    </row>
    <row r="108" spans="1:33" ht="25.5" x14ac:dyDescent="0.2">
      <c r="A108" s="88"/>
      <c r="B108" s="73" t="s">
        <v>268</v>
      </c>
      <c r="C108" s="78">
        <v>0</v>
      </c>
      <c r="D108" s="75">
        <v>0</v>
      </c>
      <c r="E108" s="77">
        <v>0</v>
      </c>
      <c r="F108" s="77">
        <v>0</v>
      </c>
      <c r="G108" s="77">
        <f>+E108+F108</f>
        <v>0</v>
      </c>
      <c r="H108" s="77">
        <f>+C108-G108</f>
        <v>0</v>
      </c>
      <c r="I108" s="75" t="s">
        <v>269</v>
      </c>
      <c r="J108" s="75" t="s">
        <v>176</v>
      </c>
      <c r="K108" s="81"/>
      <c r="L108" s="81"/>
      <c r="M108" s="81"/>
      <c r="N108" s="81"/>
      <c r="O108" s="81"/>
      <c r="P108" s="81"/>
      <c r="Q108" s="81"/>
      <c r="R108" s="81"/>
      <c r="S108" s="81"/>
      <c r="T108" s="81"/>
      <c r="U108" s="81"/>
      <c r="V108" s="81"/>
      <c r="W108" s="81"/>
      <c r="X108" s="81"/>
      <c r="Y108" s="81"/>
      <c r="Z108" s="81"/>
      <c r="AA108" s="81"/>
      <c r="AB108" s="75">
        <f t="shared" si="104"/>
        <v>0</v>
      </c>
      <c r="AC108" s="75">
        <f t="shared" si="105"/>
        <v>0</v>
      </c>
      <c r="AD108" s="75">
        <f t="shared" si="106"/>
        <v>0</v>
      </c>
      <c r="AE108" s="75">
        <f t="shared" si="107"/>
        <v>0</v>
      </c>
      <c r="AF108" s="78">
        <v>84000</v>
      </c>
      <c r="AG108" s="60"/>
    </row>
    <row r="109" spans="1:33" ht="38.25" x14ac:dyDescent="0.2">
      <c r="A109" s="88"/>
      <c r="B109" s="73" t="s">
        <v>270</v>
      </c>
      <c r="C109" s="78">
        <f>150000*69%</f>
        <v>103499.99999999999</v>
      </c>
      <c r="D109" s="75">
        <f>159466.18*69%</f>
        <v>110031.66419999998</v>
      </c>
      <c r="E109" s="75">
        <v>21704</v>
      </c>
      <c r="F109" s="77">
        <v>0</v>
      </c>
      <c r="G109" s="77">
        <f>+E109+F109</f>
        <v>21704</v>
      </c>
      <c r="H109" s="77">
        <f>+D109-G109</f>
        <v>88327.664199999985</v>
      </c>
      <c r="I109" s="75" t="s">
        <v>271</v>
      </c>
      <c r="J109" s="75" t="s">
        <v>272</v>
      </c>
      <c r="K109" s="81"/>
      <c r="L109" s="81"/>
      <c r="M109" s="81"/>
      <c r="N109" s="81">
        <f>20%*D109</f>
        <v>22006.332839999999</v>
      </c>
      <c r="O109" s="81"/>
      <c r="P109" s="81"/>
      <c r="Q109" s="81"/>
      <c r="R109" s="81">
        <f>40%*D109</f>
        <v>44012.665679999998</v>
      </c>
      <c r="S109" s="81"/>
      <c r="T109" s="81"/>
      <c r="U109" s="81"/>
      <c r="V109" s="75">
        <f>20%*D109</f>
        <v>22006.332839999999</v>
      </c>
      <c r="W109" s="75"/>
      <c r="X109" s="75"/>
      <c r="Y109" s="75"/>
      <c r="Z109" s="75"/>
      <c r="AA109" s="75"/>
      <c r="AB109" s="75">
        <f t="shared" ref="AB109:AB110" si="108">SUM(K109:O109)</f>
        <v>22006.332839999999</v>
      </c>
      <c r="AC109" s="75">
        <f t="shared" ref="AC109:AC110" si="109">SUM(P109:U109)</f>
        <v>44012.665679999998</v>
      </c>
      <c r="AD109" s="75">
        <f t="shared" ref="AD109:AD110" si="110">SUM(V109:AA109)</f>
        <v>22006.332839999999</v>
      </c>
      <c r="AE109" s="75">
        <f t="shared" ref="AE109:AE110" si="111">+AB109+AC109+AD109</f>
        <v>88025.331359999996</v>
      </c>
      <c r="AF109" s="78">
        <f>150000*31%</f>
        <v>46500</v>
      </c>
      <c r="AG109" s="60"/>
    </row>
    <row r="110" spans="1:33" s="60" customFormat="1" x14ac:dyDescent="0.2">
      <c r="A110" s="88"/>
      <c r="B110" s="130" t="s">
        <v>191</v>
      </c>
      <c r="C110" s="78">
        <v>679425</v>
      </c>
      <c r="D110" s="121">
        <v>0</v>
      </c>
      <c r="E110" s="122">
        <v>0</v>
      </c>
      <c r="F110" s="122">
        <v>0</v>
      </c>
      <c r="G110" s="122">
        <f>+E110+F110</f>
        <v>0</v>
      </c>
      <c r="H110" s="122">
        <f>+C110-G110</f>
        <v>679425</v>
      </c>
      <c r="I110" s="75"/>
      <c r="J110" s="75"/>
      <c r="K110" s="75"/>
      <c r="L110" s="75"/>
      <c r="M110" s="75"/>
      <c r="N110" s="75"/>
      <c r="O110" s="75"/>
      <c r="P110" s="75"/>
      <c r="Q110" s="75"/>
      <c r="R110" s="75"/>
      <c r="S110" s="75"/>
      <c r="T110" s="75"/>
      <c r="U110" s="75"/>
      <c r="V110" s="75"/>
      <c r="W110" s="75"/>
      <c r="X110" s="75"/>
      <c r="Y110" s="75"/>
      <c r="Z110" s="75"/>
      <c r="AA110" s="75"/>
      <c r="AB110" s="75">
        <f t="shared" si="108"/>
        <v>0</v>
      </c>
      <c r="AC110" s="75">
        <f t="shared" si="109"/>
        <v>0</v>
      </c>
      <c r="AD110" s="75">
        <f t="shared" si="110"/>
        <v>0</v>
      </c>
      <c r="AE110" s="75">
        <f t="shared" si="111"/>
        <v>0</v>
      </c>
      <c r="AF110" s="78">
        <v>224075</v>
      </c>
    </row>
    <row r="111" spans="1:33" s="60" customFormat="1" x14ac:dyDescent="0.2">
      <c r="A111" s="117"/>
      <c r="B111" s="113" t="s">
        <v>200</v>
      </c>
      <c r="C111" s="131">
        <v>0</v>
      </c>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31">
        <v>1511.19</v>
      </c>
    </row>
    <row r="112" spans="1:33" x14ac:dyDescent="0.2">
      <c r="A112" s="117"/>
      <c r="B112" s="113" t="s">
        <v>199</v>
      </c>
      <c r="C112" s="131">
        <v>160230</v>
      </c>
      <c r="D112" s="118"/>
      <c r="E112" s="118"/>
      <c r="F112" s="134"/>
      <c r="G112" s="134"/>
      <c r="H112" s="134"/>
      <c r="I112" s="118"/>
      <c r="J112" s="118"/>
      <c r="K112" s="135"/>
      <c r="L112" s="118"/>
      <c r="M112" s="118"/>
      <c r="N112" s="118"/>
      <c r="O112" s="118"/>
      <c r="P112" s="118"/>
      <c r="Q112" s="118"/>
      <c r="R112" s="118"/>
      <c r="S112" s="118"/>
      <c r="T112" s="118"/>
      <c r="U112" s="118"/>
      <c r="V112" s="118"/>
      <c r="W112" s="118"/>
      <c r="X112" s="118"/>
      <c r="Y112" s="118"/>
      <c r="Z112" s="118"/>
      <c r="AA112" s="118"/>
      <c r="AB112" s="118"/>
      <c r="AC112" s="118"/>
      <c r="AD112" s="118"/>
      <c r="AE112" s="118"/>
      <c r="AF112" s="131">
        <v>82958.81</v>
      </c>
      <c r="AG112" s="60"/>
    </row>
    <row r="113" spans="1:32" x14ac:dyDescent="0.2">
      <c r="A113" s="89" t="s">
        <v>160</v>
      </c>
      <c r="B113" s="58" t="s">
        <v>136</v>
      </c>
      <c r="C113" s="80">
        <f>+C114</f>
        <v>451000</v>
      </c>
      <c r="D113" s="80">
        <f t="shared" ref="D113:H113" si="112">+D114</f>
        <v>56715.290909090902</v>
      </c>
      <c r="E113" s="80">
        <f t="shared" si="112"/>
        <v>22749</v>
      </c>
      <c r="F113" s="80">
        <f t="shared" si="112"/>
        <v>0</v>
      </c>
      <c r="G113" s="80">
        <f t="shared" si="112"/>
        <v>22749</v>
      </c>
      <c r="H113" s="80">
        <f t="shared" si="112"/>
        <v>529966.29090909089</v>
      </c>
      <c r="I113" s="80"/>
      <c r="J113" s="80"/>
      <c r="K113" s="74"/>
      <c r="L113" s="74"/>
      <c r="M113" s="74"/>
      <c r="N113" s="74"/>
      <c r="O113" s="74"/>
      <c r="P113" s="74"/>
      <c r="Q113" s="74"/>
      <c r="R113" s="74"/>
      <c r="S113" s="74"/>
      <c r="T113" s="74"/>
      <c r="U113" s="74"/>
      <c r="V113" s="74"/>
      <c r="W113" s="74"/>
      <c r="X113" s="74"/>
      <c r="Y113" s="74"/>
      <c r="Z113" s="74"/>
      <c r="AA113" s="74"/>
      <c r="AB113" s="80">
        <f t="shared" ref="AB113:AF113" si="113">+AB114</f>
        <v>52327.715818181809</v>
      </c>
      <c r="AC113" s="80">
        <f t="shared" si="113"/>
        <v>37500</v>
      </c>
      <c r="AD113" s="80">
        <f t="shared" si="113"/>
        <v>80000</v>
      </c>
      <c r="AE113" s="80">
        <f t="shared" si="113"/>
        <v>169827.71581818181</v>
      </c>
      <c r="AF113" s="80">
        <f t="shared" si="113"/>
        <v>539000</v>
      </c>
    </row>
    <row r="114" spans="1:32" ht="38.25" x14ac:dyDescent="0.2">
      <c r="A114" s="86" t="s">
        <v>148</v>
      </c>
      <c r="B114" s="59" t="s">
        <v>137</v>
      </c>
      <c r="C114" s="76">
        <f>SUM(C115:C118)-C119-C120</f>
        <v>451000</v>
      </c>
      <c r="D114" s="76">
        <f t="shared" ref="D114:H114" si="114">SUM(D115:D118)</f>
        <v>56715.290909090902</v>
      </c>
      <c r="E114" s="76">
        <f t="shared" si="114"/>
        <v>22749</v>
      </c>
      <c r="F114" s="76">
        <f t="shared" si="114"/>
        <v>0</v>
      </c>
      <c r="G114" s="76">
        <f t="shared" si="114"/>
        <v>22749</v>
      </c>
      <c r="H114" s="76">
        <f t="shared" si="114"/>
        <v>529966.29090909089</v>
      </c>
      <c r="I114" s="76"/>
      <c r="J114" s="76"/>
      <c r="K114" s="76"/>
      <c r="L114" s="76"/>
      <c r="M114" s="76"/>
      <c r="N114" s="76"/>
      <c r="O114" s="76"/>
      <c r="P114" s="76"/>
      <c r="Q114" s="76"/>
      <c r="R114" s="76"/>
      <c r="S114" s="76"/>
      <c r="T114" s="76"/>
      <c r="U114" s="76"/>
      <c r="V114" s="76"/>
      <c r="W114" s="76"/>
      <c r="X114" s="76"/>
      <c r="Y114" s="76"/>
      <c r="Z114" s="76"/>
      <c r="AA114" s="76"/>
      <c r="AB114" s="76">
        <f t="shared" ref="AB114:AE114" si="115">SUM(AB115:AB118)</f>
        <v>52327.715818181809</v>
      </c>
      <c r="AC114" s="76">
        <f t="shared" si="115"/>
        <v>37500</v>
      </c>
      <c r="AD114" s="76">
        <f t="shared" si="115"/>
        <v>80000</v>
      </c>
      <c r="AE114" s="76">
        <f t="shared" si="115"/>
        <v>169827.71581818181</v>
      </c>
      <c r="AF114" s="76">
        <f>SUM(AF115:AF118)-AF119-AF120</f>
        <v>539000</v>
      </c>
    </row>
    <row r="115" spans="1:32" s="60" customFormat="1" ht="38.25" x14ac:dyDescent="0.2">
      <c r="A115" s="88"/>
      <c r="B115" s="73" t="s">
        <v>273</v>
      </c>
      <c r="C115" s="78">
        <f>50000*75%</f>
        <v>37500</v>
      </c>
      <c r="D115" s="75">
        <v>0</v>
      </c>
      <c r="E115" s="77">
        <v>0</v>
      </c>
      <c r="F115" s="77">
        <v>0</v>
      </c>
      <c r="G115" s="77">
        <f>+E115+F115</f>
        <v>0</v>
      </c>
      <c r="H115" s="77">
        <f>+C115-G115</f>
        <v>37500</v>
      </c>
      <c r="I115" s="75" t="s">
        <v>274</v>
      </c>
      <c r="J115" s="75" t="s">
        <v>275</v>
      </c>
      <c r="K115" s="75"/>
      <c r="L115" s="75"/>
      <c r="M115" s="108"/>
      <c r="N115" s="108"/>
      <c r="O115" s="79"/>
      <c r="P115" s="79"/>
      <c r="Q115" s="79"/>
      <c r="R115" s="79"/>
      <c r="S115" s="81"/>
      <c r="T115" s="81"/>
      <c r="U115" s="75">
        <f>+C115</f>
        <v>37500</v>
      </c>
      <c r="V115" s="75"/>
      <c r="W115" s="75"/>
      <c r="X115" s="75"/>
      <c r="Y115" s="75"/>
      <c r="Z115" s="75"/>
      <c r="AA115" s="75"/>
      <c r="AB115" s="75">
        <f t="shared" ref="AB115:AB118" si="116">SUM(K115:O115)</f>
        <v>0</v>
      </c>
      <c r="AC115" s="75">
        <f t="shared" ref="AC115:AC118" si="117">SUM(P115:U115)</f>
        <v>37500</v>
      </c>
      <c r="AD115" s="75">
        <f t="shared" ref="AD115:AD118" si="118">SUM(V115:AA115)</f>
        <v>0</v>
      </c>
      <c r="AE115" s="75">
        <f t="shared" ref="AE115:AE118" si="119">+AB115+AC115+AD115</f>
        <v>37500</v>
      </c>
      <c r="AF115" s="78">
        <f>50000*25%</f>
        <v>12500</v>
      </c>
    </row>
    <row r="116" spans="1:32" s="60" customFormat="1" ht="51" x14ac:dyDescent="0.2">
      <c r="A116" s="88"/>
      <c r="B116" s="73" t="s">
        <v>277</v>
      </c>
      <c r="C116" s="78">
        <f>60000*90%</f>
        <v>54000</v>
      </c>
      <c r="D116" s="75">
        <f>62386.82/1.1</f>
        <v>56715.290909090902</v>
      </c>
      <c r="E116" s="77">
        <v>22749</v>
      </c>
      <c r="F116" s="77">
        <v>0</v>
      </c>
      <c r="G116" s="77">
        <f>+E116+F116</f>
        <v>22749</v>
      </c>
      <c r="H116" s="77">
        <f>+D116-G116</f>
        <v>33966.290909090902</v>
      </c>
      <c r="I116" s="75" t="s">
        <v>276</v>
      </c>
      <c r="J116" s="75" t="s">
        <v>176</v>
      </c>
      <c r="K116" s="75"/>
      <c r="L116" s="75"/>
      <c r="M116" s="75"/>
      <c r="N116" s="75">
        <f>57%*D116</f>
        <v>32327.715818181812</v>
      </c>
      <c r="O116" s="75"/>
      <c r="P116" s="75"/>
      <c r="Q116" s="75"/>
      <c r="R116" s="75"/>
      <c r="S116" s="75"/>
      <c r="T116" s="75"/>
      <c r="U116" s="75"/>
      <c r="V116" s="75"/>
      <c r="W116" s="75"/>
      <c r="X116" s="75"/>
      <c r="Y116" s="75"/>
      <c r="Z116" s="75"/>
      <c r="AA116" s="75"/>
      <c r="AB116" s="75">
        <f t="shared" si="116"/>
        <v>32327.715818181812</v>
      </c>
      <c r="AC116" s="75">
        <f t="shared" si="117"/>
        <v>0</v>
      </c>
      <c r="AD116" s="75">
        <f t="shared" si="118"/>
        <v>0</v>
      </c>
      <c r="AE116" s="75">
        <f t="shared" si="119"/>
        <v>32327.715818181812</v>
      </c>
      <c r="AF116" s="78">
        <f>60000*10%</f>
        <v>6000</v>
      </c>
    </row>
    <row r="117" spans="1:32" s="60" customFormat="1" ht="25.5" x14ac:dyDescent="0.2">
      <c r="A117" s="88"/>
      <c r="B117" s="73" t="s">
        <v>292</v>
      </c>
      <c r="C117" s="78">
        <f>200000*50%</f>
        <v>100000</v>
      </c>
      <c r="D117" s="75">
        <v>0</v>
      </c>
      <c r="E117" s="77">
        <v>0</v>
      </c>
      <c r="F117" s="77">
        <v>0</v>
      </c>
      <c r="G117" s="77">
        <f>+E117+F117</f>
        <v>0</v>
      </c>
      <c r="H117" s="77">
        <f>+C117-G117</f>
        <v>100000</v>
      </c>
      <c r="I117" s="75" t="s">
        <v>293</v>
      </c>
      <c r="J117" s="75" t="s">
        <v>294</v>
      </c>
      <c r="K117" s="79"/>
      <c r="L117" s="79"/>
      <c r="M117" s="79"/>
      <c r="N117" s="81"/>
      <c r="O117" s="81">
        <f>20%*C117</f>
        <v>20000</v>
      </c>
      <c r="P117" s="81"/>
      <c r="Q117" s="81"/>
      <c r="R117" s="81"/>
      <c r="S117" s="81"/>
      <c r="T117" s="81"/>
      <c r="U117" s="81"/>
      <c r="V117" s="81">
        <f>40%*C117</f>
        <v>40000</v>
      </c>
      <c r="W117" s="81"/>
      <c r="X117" s="81"/>
      <c r="Y117" s="81"/>
      <c r="Z117" s="81"/>
      <c r="AA117" s="75">
        <f>40%*C117</f>
        <v>40000</v>
      </c>
      <c r="AB117" s="75">
        <f t="shared" ref="AB117" si="120">SUM(K117:O117)</f>
        <v>20000</v>
      </c>
      <c r="AC117" s="75">
        <f t="shared" ref="AC117" si="121">SUM(P117:U117)</f>
        <v>0</v>
      </c>
      <c r="AD117" s="75">
        <f t="shared" ref="AD117" si="122">SUM(V117:AA117)</f>
        <v>80000</v>
      </c>
      <c r="AE117" s="75">
        <f t="shared" ref="AE117" si="123">+AB117+AC117+AD117</f>
        <v>100000</v>
      </c>
      <c r="AF117" s="78">
        <f>200000*50%</f>
        <v>100000</v>
      </c>
    </row>
    <row r="118" spans="1:32" s="60" customFormat="1" x14ac:dyDescent="0.2">
      <c r="A118" s="88"/>
      <c r="B118" s="130" t="s">
        <v>191</v>
      </c>
      <c r="C118" s="78">
        <v>358500</v>
      </c>
      <c r="D118" s="121">
        <v>0</v>
      </c>
      <c r="E118" s="122">
        <v>0</v>
      </c>
      <c r="F118" s="122">
        <v>0</v>
      </c>
      <c r="G118" s="122">
        <f>+E118+F118</f>
        <v>0</v>
      </c>
      <c r="H118" s="122">
        <f>+C118-G118</f>
        <v>358500</v>
      </c>
      <c r="I118" s="75"/>
      <c r="J118" s="75"/>
      <c r="K118" s="75"/>
      <c r="L118" s="75"/>
      <c r="M118" s="75"/>
      <c r="N118" s="75"/>
      <c r="O118" s="75"/>
      <c r="P118" s="75"/>
      <c r="Q118" s="75"/>
      <c r="R118" s="75"/>
      <c r="S118" s="75"/>
      <c r="T118" s="75"/>
      <c r="U118" s="75"/>
      <c r="V118" s="75"/>
      <c r="W118" s="75"/>
      <c r="X118" s="75"/>
      <c r="Y118" s="75"/>
      <c r="Z118" s="75"/>
      <c r="AA118" s="75"/>
      <c r="AB118" s="75">
        <f t="shared" si="116"/>
        <v>0</v>
      </c>
      <c r="AC118" s="75">
        <f t="shared" si="117"/>
        <v>0</v>
      </c>
      <c r="AD118" s="75">
        <f t="shared" si="118"/>
        <v>0</v>
      </c>
      <c r="AE118" s="75">
        <f t="shared" si="119"/>
        <v>0</v>
      </c>
      <c r="AF118" s="78">
        <v>431500</v>
      </c>
    </row>
    <row r="119" spans="1:32" s="60" customFormat="1" x14ac:dyDescent="0.2">
      <c r="A119" s="117"/>
      <c r="B119" s="113" t="s">
        <v>200</v>
      </c>
      <c r="C119" s="131">
        <v>0</v>
      </c>
      <c r="D119" s="136"/>
      <c r="E119" s="136"/>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31">
        <v>0</v>
      </c>
    </row>
    <row r="120" spans="1:32" s="60" customFormat="1" x14ac:dyDescent="0.2">
      <c r="A120" s="117"/>
      <c r="B120" s="113" t="s">
        <v>199</v>
      </c>
      <c r="C120" s="131">
        <v>99000</v>
      </c>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31">
        <v>11000</v>
      </c>
    </row>
    <row r="121" spans="1:32" ht="25.5" x14ac:dyDescent="0.2">
      <c r="A121" s="89" t="s">
        <v>161</v>
      </c>
      <c r="B121" s="58" t="s">
        <v>138</v>
      </c>
      <c r="C121" s="80">
        <f>+C122+C127-C133-C134</f>
        <v>142878</v>
      </c>
      <c r="D121" s="80">
        <f>+D122+D127</f>
        <v>19667.2425</v>
      </c>
      <c r="E121" s="80">
        <f>+E122+E127</f>
        <v>0</v>
      </c>
      <c r="F121" s="80">
        <f>+F122+F127</f>
        <v>0</v>
      </c>
      <c r="G121" s="80">
        <f>+G122+G127</f>
        <v>0</v>
      </c>
      <c r="H121" s="80">
        <f>+H122+H127</f>
        <v>385445.24249999999</v>
      </c>
      <c r="I121" s="80"/>
      <c r="J121" s="80"/>
      <c r="K121" s="74"/>
      <c r="L121" s="74"/>
      <c r="M121" s="74"/>
      <c r="N121" s="74"/>
      <c r="O121" s="74"/>
      <c r="P121" s="74"/>
      <c r="Q121" s="74"/>
      <c r="R121" s="74"/>
      <c r="S121" s="74"/>
      <c r="T121" s="74"/>
      <c r="U121" s="74"/>
      <c r="V121" s="74"/>
      <c r="W121" s="74"/>
      <c r="X121" s="74"/>
      <c r="Y121" s="74"/>
      <c r="Z121" s="74"/>
      <c r="AA121" s="74"/>
      <c r="AB121" s="80">
        <f>+AB122+AB127</f>
        <v>12933.4485</v>
      </c>
      <c r="AC121" s="80">
        <f>+AC122+AC127</f>
        <v>75733.793999999994</v>
      </c>
      <c r="AD121" s="80">
        <f>+AD122+AD127</f>
        <v>107400</v>
      </c>
      <c r="AE121" s="80">
        <f>+AE122+AE127</f>
        <v>196067.24249999999</v>
      </c>
      <c r="AF121" s="80">
        <f>+AF122+AF127-AF133-AF134</f>
        <v>276922</v>
      </c>
    </row>
    <row r="122" spans="1:32" ht="38.25" x14ac:dyDescent="0.2">
      <c r="A122" s="86" t="s">
        <v>149</v>
      </c>
      <c r="B122" s="59" t="s">
        <v>139</v>
      </c>
      <c r="C122" s="76">
        <f t="shared" ref="C122:H122" si="124">SUM(C123:C126)</f>
        <v>119250</v>
      </c>
      <c r="D122" s="76">
        <f t="shared" si="124"/>
        <v>0</v>
      </c>
      <c r="E122" s="76">
        <f t="shared" si="124"/>
        <v>0</v>
      </c>
      <c r="F122" s="76">
        <f t="shared" si="124"/>
        <v>0</v>
      </c>
      <c r="G122" s="76">
        <f t="shared" si="124"/>
        <v>0</v>
      </c>
      <c r="H122" s="76">
        <f t="shared" si="124"/>
        <v>119250</v>
      </c>
      <c r="I122" s="76"/>
      <c r="J122" s="76"/>
      <c r="K122" s="76"/>
      <c r="L122" s="76"/>
      <c r="M122" s="76"/>
      <c r="N122" s="76"/>
      <c r="O122" s="76"/>
      <c r="P122" s="76"/>
      <c r="Q122" s="76"/>
      <c r="R122" s="76"/>
      <c r="S122" s="76"/>
      <c r="T122" s="76"/>
      <c r="U122" s="76"/>
      <c r="V122" s="76"/>
      <c r="W122" s="76"/>
      <c r="X122" s="76"/>
      <c r="Y122" s="76"/>
      <c r="Z122" s="76"/>
      <c r="AA122" s="76"/>
      <c r="AB122" s="76">
        <f>SUM(AB123:AB126)</f>
        <v>0</v>
      </c>
      <c r="AC122" s="76">
        <f t="shared" ref="AC122:AF122" si="125">SUM(AC123:AC126)</f>
        <v>22200</v>
      </c>
      <c r="AD122" s="76">
        <f t="shared" si="125"/>
        <v>97050</v>
      </c>
      <c r="AE122" s="76">
        <f t="shared" si="125"/>
        <v>119250</v>
      </c>
      <c r="AF122" s="76">
        <f t="shared" si="125"/>
        <v>39750</v>
      </c>
    </row>
    <row r="123" spans="1:32" s="60" customFormat="1" ht="25.5" x14ac:dyDescent="0.2">
      <c r="A123" s="88"/>
      <c r="B123" s="73" t="s">
        <v>278</v>
      </c>
      <c r="C123" s="78">
        <f>99000*75%</f>
        <v>74250</v>
      </c>
      <c r="D123" s="75">
        <v>0</v>
      </c>
      <c r="E123" s="77">
        <v>0</v>
      </c>
      <c r="F123" s="77">
        <v>0</v>
      </c>
      <c r="G123" s="77">
        <f>+E123+F123</f>
        <v>0</v>
      </c>
      <c r="H123" s="77">
        <f>+C123-G123</f>
        <v>74250</v>
      </c>
      <c r="I123" s="75" t="s">
        <v>279</v>
      </c>
      <c r="J123" s="75" t="s">
        <v>280</v>
      </c>
      <c r="K123" s="75"/>
      <c r="L123" s="75"/>
      <c r="M123" s="108"/>
      <c r="N123" s="108"/>
      <c r="O123" s="79"/>
      <c r="P123" s="79"/>
      <c r="Q123" s="79"/>
      <c r="R123" s="79"/>
      <c r="S123" s="81"/>
      <c r="T123" s="81"/>
      <c r="U123" s="81"/>
      <c r="V123" s="75">
        <f>+C123</f>
        <v>74250</v>
      </c>
      <c r="W123" s="75"/>
      <c r="X123" s="75"/>
      <c r="Y123" s="75"/>
      <c r="Z123" s="75"/>
      <c r="AA123" s="75"/>
      <c r="AB123" s="75">
        <f t="shared" ref="AB123:AB124" si="126">SUM(K123:O123)</f>
        <v>0</v>
      </c>
      <c r="AC123" s="75">
        <f t="shared" ref="AC123:AC124" si="127">SUM(P123:U123)</f>
        <v>0</v>
      </c>
      <c r="AD123" s="75">
        <f t="shared" ref="AD123:AD124" si="128">SUM(V123:AA123)</f>
        <v>74250</v>
      </c>
      <c r="AE123" s="75">
        <f t="shared" ref="AE123:AE124" si="129">+AB123+AC123+AD123</f>
        <v>74250</v>
      </c>
      <c r="AF123" s="78">
        <f>99000*25%</f>
        <v>24750</v>
      </c>
    </row>
    <row r="124" spans="1:32" s="60" customFormat="1" ht="25.5" x14ac:dyDescent="0.2">
      <c r="A124" s="88"/>
      <c r="B124" s="73" t="s">
        <v>281</v>
      </c>
      <c r="C124" s="78">
        <f>22000*75%</f>
        <v>16500</v>
      </c>
      <c r="D124" s="75">
        <v>0</v>
      </c>
      <c r="E124" s="77">
        <v>0</v>
      </c>
      <c r="F124" s="77">
        <v>0</v>
      </c>
      <c r="G124" s="77">
        <f>+E124+F124</f>
        <v>0</v>
      </c>
      <c r="H124" s="77">
        <f>+C124-G124</f>
        <v>16500</v>
      </c>
      <c r="I124" s="75" t="s">
        <v>282</v>
      </c>
      <c r="J124" s="75" t="s">
        <v>283</v>
      </c>
      <c r="K124" s="75"/>
      <c r="L124" s="75"/>
      <c r="M124" s="108"/>
      <c r="N124" s="108"/>
      <c r="O124" s="79"/>
      <c r="P124" s="79"/>
      <c r="Q124" s="81"/>
      <c r="R124" s="81"/>
      <c r="S124" s="75">
        <f>+C124</f>
        <v>16500</v>
      </c>
      <c r="T124" s="75"/>
      <c r="U124" s="75"/>
      <c r="V124" s="75"/>
      <c r="W124" s="75"/>
      <c r="X124" s="75"/>
      <c r="Y124" s="75"/>
      <c r="Z124" s="75"/>
      <c r="AA124" s="75"/>
      <c r="AB124" s="75">
        <f t="shared" si="126"/>
        <v>0</v>
      </c>
      <c r="AC124" s="75">
        <f t="shared" si="127"/>
        <v>16500</v>
      </c>
      <c r="AD124" s="75">
        <f t="shared" si="128"/>
        <v>0</v>
      </c>
      <c r="AE124" s="75">
        <f t="shared" si="129"/>
        <v>16500</v>
      </c>
      <c r="AF124" s="78">
        <f>22000*25%</f>
        <v>5500</v>
      </c>
    </row>
    <row r="125" spans="1:32" s="60" customFormat="1" ht="38.25" x14ac:dyDescent="0.2">
      <c r="A125" s="88"/>
      <c r="B125" s="73" t="s">
        <v>284</v>
      </c>
      <c r="C125" s="78">
        <f>38000*75%</f>
        <v>28500</v>
      </c>
      <c r="D125" s="75">
        <v>0</v>
      </c>
      <c r="E125" s="77">
        <v>0</v>
      </c>
      <c r="F125" s="77">
        <v>0</v>
      </c>
      <c r="G125" s="77">
        <f>+E125+F125</f>
        <v>0</v>
      </c>
      <c r="H125" s="77">
        <f>+C125-G125</f>
        <v>28500</v>
      </c>
      <c r="I125" s="75" t="s">
        <v>285</v>
      </c>
      <c r="J125" s="75" t="s">
        <v>286</v>
      </c>
      <c r="K125" s="75"/>
      <c r="L125" s="75"/>
      <c r="M125" s="75"/>
      <c r="N125" s="75"/>
      <c r="O125" s="108"/>
      <c r="P125" s="108"/>
      <c r="Q125" s="79"/>
      <c r="R125" s="79"/>
      <c r="S125" s="79"/>
      <c r="T125" s="81"/>
      <c r="U125" s="81">
        <f>20%*C125</f>
        <v>5700</v>
      </c>
      <c r="V125" s="81"/>
      <c r="W125" s="81"/>
      <c r="X125" s="81">
        <f>40%*C125</f>
        <v>11400</v>
      </c>
      <c r="Y125" s="81"/>
      <c r="Z125" s="75">
        <f>40%*C125</f>
        <v>11400</v>
      </c>
      <c r="AA125" s="75"/>
      <c r="AB125" s="75">
        <f t="shared" ref="AB125" si="130">SUM(K125:O125)</f>
        <v>0</v>
      </c>
      <c r="AC125" s="75">
        <f t="shared" ref="AC125" si="131">SUM(P125:U125)</f>
        <v>5700</v>
      </c>
      <c r="AD125" s="75">
        <f t="shared" ref="AD125" si="132">SUM(V125:AA125)</f>
        <v>22800</v>
      </c>
      <c r="AE125" s="75">
        <f t="shared" ref="AE125" si="133">+AB125+AC125+AD125</f>
        <v>28500</v>
      </c>
      <c r="AF125" s="78">
        <f>38000*25%</f>
        <v>9500</v>
      </c>
    </row>
    <row r="126" spans="1:32" s="60" customFormat="1" x14ac:dyDescent="0.2">
      <c r="A126" s="88"/>
      <c r="B126" s="130" t="s">
        <v>191</v>
      </c>
      <c r="C126" s="78">
        <v>0</v>
      </c>
      <c r="D126" s="121">
        <v>0</v>
      </c>
      <c r="E126" s="122">
        <v>0</v>
      </c>
      <c r="F126" s="122">
        <v>0</v>
      </c>
      <c r="G126" s="122">
        <f>+E126+F126</f>
        <v>0</v>
      </c>
      <c r="H126" s="122">
        <f>+C126-G126</f>
        <v>0</v>
      </c>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8"/>
    </row>
    <row r="127" spans="1:32" ht="25.5" x14ac:dyDescent="0.2">
      <c r="A127" s="86" t="s">
        <v>150</v>
      </c>
      <c r="B127" s="59" t="s">
        <v>140</v>
      </c>
      <c r="C127" s="76">
        <f>SUM(C128:C132)</f>
        <v>276528</v>
      </c>
      <c r="D127" s="76">
        <f t="shared" ref="D127:H127" si="134">SUM(D128:D132)</f>
        <v>19667.2425</v>
      </c>
      <c r="E127" s="76">
        <f t="shared" si="134"/>
        <v>0</v>
      </c>
      <c r="F127" s="76">
        <f t="shared" si="134"/>
        <v>0</v>
      </c>
      <c r="G127" s="76">
        <f t="shared" si="134"/>
        <v>0</v>
      </c>
      <c r="H127" s="76">
        <f t="shared" si="134"/>
        <v>266195.24249999999</v>
      </c>
      <c r="I127" s="76"/>
      <c r="J127" s="76"/>
      <c r="K127" s="76"/>
      <c r="L127" s="76"/>
      <c r="M127" s="76"/>
      <c r="N127" s="76"/>
      <c r="O127" s="76"/>
      <c r="P127" s="76"/>
      <c r="Q127" s="76"/>
      <c r="R127" s="76"/>
      <c r="S127" s="76"/>
      <c r="T127" s="76"/>
      <c r="U127" s="76"/>
      <c r="V127" s="76"/>
      <c r="W127" s="76"/>
      <c r="X127" s="76"/>
      <c r="Y127" s="76"/>
      <c r="Z127" s="76"/>
      <c r="AA127" s="76"/>
      <c r="AB127" s="76">
        <f>SUM(AB128:AB132)</f>
        <v>12933.4485</v>
      </c>
      <c r="AC127" s="76">
        <f t="shared" ref="AC127:AF127" si="135">SUM(AC128:AC132)</f>
        <v>53533.794000000002</v>
      </c>
      <c r="AD127" s="76">
        <f t="shared" si="135"/>
        <v>10350</v>
      </c>
      <c r="AE127" s="76">
        <f t="shared" si="135"/>
        <v>76817.242499999993</v>
      </c>
      <c r="AF127" s="76">
        <f t="shared" si="135"/>
        <v>265272</v>
      </c>
    </row>
    <row r="128" spans="1:32" s="60" customFormat="1" ht="25.5" x14ac:dyDescent="0.2">
      <c r="A128" s="88"/>
      <c r="B128" s="73" t="s">
        <v>194</v>
      </c>
      <c r="C128" s="78">
        <v>9000</v>
      </c>
      <c r="D128" s="75">
        <v>0</v>
      </c>
      <c r="E128" s="77">
        <v>0</v>
      </c>
      <c r="F128" s="77">
        <v>0</v>
      </c>
      <c r="G128" s="77">
        <f>+E128+F128</f>
        <v>0</v>
      </c>
      <c r="H128" s="77">
        <f>+C128-G128</f>
        <v>9000</v>
      </c>
      <c r="I128" s="75" t="s">
        <v>203</v>
      </c>
      <c r="J128" s="75" t="s">
        <v>176</v>
      </c>
      <c r="K128" s="75"/>
      <c r="L128" s="75"/>
      <c r="M128" s="75"/>
      <c r="N128" s="108"/>
      <c r="O128" s="108"/>
      <c r="P128" s="108"/>
      <c r="Q128" s="79"/>
      <c r="R128" s="79"/>
      <c r="S128" s="79"/>
      <c r="T128" s="81"/>
      <c r="U128" s="81">
        <f>20%*C128</f>
        <v>1800</v>
      </c>
      <c r="V128" s="81"/>
      <c r="W128" s="81"/>
      <c r="X128" s="81"/>
      <c r="Y128" s="81">
        <f>40%*C128</f>
        <v>3600</v>
      </c>
      <c r="Z128" s="81"/>
      <c r="AA128" s="81"/>
      <c r="AB128" s="75">
        <f t="shared" ref="AB128:AB130" si="136">SUM(K128:O128)</f>
        <v>0</v>
      </c>
      <c r="AC128" s="75">
        <f t="shared" ref="AC128:AC130" si="137">SUM(P128:U128)</f>
        <v>1800</v>
      </c>
      <c r="AD128" s="75">
        <f t="shared" ref="AD128:AD130" si="138">SUM(V128:AA128)</f>
        <v>3600</v>
      </c>
      <c r="AE128" s="75">
        <f t="shared" ref="AE128:AE130" si="139">+AB128+AC128+AD128</f>
        <v>5400</v>
      </c>
      <c r="AF128" s="78">
        <v>1000</v>
      </c>
    </row>
    <row r="129" spans="1:32" s="60" customFormat="1" ht="38.25" x14ac:dyDescent="0.2">
      <c r="A129" s="88"/>
      <c r="B129" s="73" t="s">
        <v>204</v>
      </c>
      <c r="C129" s="78">
        <f>15000*75%</f>
        <v>11250</v>
      </c>
      <c r="D129" s="75">
        <v>0</v>
      </c>
      <c r="E129" s="77">
        <v>0</v>
      </c>
      <c r="F129" s="77">
        <v>0</v>
      </c>
      <c r="G129" s="77">
        <f>+E129+F129</f>
        <v>0</v>
      </c>
      <c r="H129" s="77">
        <f>+C129-G129</f>
        <v>11250</v>
      </c>
      <c r="I129" s="75" t="s">
        <v>205</v>
      </c>
      <c r="J129" s="75" t="s">
        <v>176</v>
      </c>
      <c r="K129" s="75"/>
      <c r="L129" s="75"/>
      <c r="M129" s="108"/>
      <c r="N129" s="108"/>
      <c r="O129" s="108"/>
      <c r="P129" s="79"/>
      <c r="Q129" s="79"/>
      <c r="R129" s="79"/>
      <c r="S129" s="79"/>
      <c r="T129" s="79"/>
      <c r="U129" s="81"/>
      <c r="V129" s="81">
        <f>20%*C129</f>
        <v>2250</v>
      </c>
      <c r="W129" s="81"/>
      <c r="X129" s="81"/>
      <c r="Y129" s="81"/>
      <c r="Z129" s="81">
        <f>40%*C129</f>
        <v>4500</v>
      </c>
      <c r="AA129" s="81"/>
      <c r="AB129" s="75">
        <f t="shared" si="136"/>
        <v>0</v>
      </c>
      <c r="AC129" s="75">
        <f t="shared" si="137"/>
        <v>0</v>
      </c>
      <c r="AD129" s="75">
        <f t="shared" si="138"/>
        <v>6750</v>
      </c>
      <c r="AE129" s="75">
        <f t="shared" si="139"/>
        <v>6750</v>
      </c>
      <c r="AF129" s="78">
        <f>15000*25%</f>
        <v>3750</v>
      </c>
    </row>
    <row r="130" spans="1:32" s="60" customFormat="1" ht="76.5" x14ac:dyDescent="0.2">
      <c r="A130" s="88"/>
      <c r="B130" s="73" t="s">
        <v>290</v>
      </c>
      <c r="C130" s="78">
        <f>40000*75%</f>
        <v>30000</v>
      </c>
      <c r="D130" s="75">
        <f>26222.99*75%</f>
        <v>19667.2425</v>
      </c>
      <c r="E130" s="77">
        <v>0</v>
      </c>
      <c r="F130" s="77">
        <v>0</v>
      </c>
      <c r="G130" s="77">
        <f>+E130+F130</f>
        <v>0</v>
      </c>
      <c r="H130" s="77">
        <f>+D130-G130</f>
        <v>19667.2425</v>
      </c>
      <c r="I130" s="75" t="s">
        <v>287</v>
      </c>
      <c r="J130" s="75" t="s">
        <v>176</v>
      </c>
      <c r="K130" s="81"/>
      <c r="L130" s="81"/>
      <c r="M130" s="81"/>
      <c r="N130" s="81">
        <f>20%*D130</f>
        <v>3933.4485000000004</v>
      </c>
      <c r="O130" s="81"/>
      <c r="P130" s="81">
        <f>20%*D130</f>
        <v>3933.4485000000004</v>
      </c>
      <c r="Q130" s="75">
        <f>60%*D130</f>
        <v>11800.345499999999</v>
      </c>
      <c r="R130" s="75"/>
      <c r="S130" s="75"/>
      <c r="T130" s="75"/>
      <c r="U130" s="75"/>
      <c r="V130" s="75"/>
      <c r="W130" s="75"/>
      <c r="X130" s="75"/>
      <c r="Y130" s="75"/>
      <c r="Z130" s="75"/>
      <c r="AA130" s="75"/>
      <c r="AB130" s="75">
        <f t="shared" si="136"/>
        <v>3933.4485000000004</v>
      </c>
      <c r="AC130" s="75">
        <f t="shared" si="137"/>
        <v>15733.794</v>
      </c>
      <c r="AD130" s="75">
        <f t="shared" si="138"/>
        <v>0</v>
      </c>
      <c r="AE130" s="75">
        <f t="shared" si="139"/>
        <v>19667.2425</v>
      </c>
      <c r="AF130" s="78">
        <f>40000*25%</f>
        <v>10000</v>
      </c>
    </row>
    <row r="131" spans="1:32" s="60" customFormat="1" ht="38.25" x14ac:dyDescent="0.2">
      <c r="A131" s="88"/>
      <c r="B131" s="73" t="s">
        <v>288</v>
      </c>
      <c r="C131" s="78">
        <f>75%*60000</f>
        <v>45000</v>
      </c>
      <c r="D131" s="75">
        <v>0</v>
      </c>
      <c r="E131" s="77">
        <v>0</v>
      </c>
      <c r="F131" s="77">
        <v>0</v>
      </c>
      <c r="G131" s="77">
        <f>+E131+F131</f>
        <v>0</v>
      </c>
      <c r="H131" s="77">
        <f>+C131-G131</f>
        <v>45000</v>
      </c>
      <c r="I131" s="75" t="s">
        <v>289</v>
      </c>
      <c r="J131" s="75" t="s">
        <v>291</v>
      </c>
      <c r="K131" s="81"/>
      <c r="L131" s="81"/>
      <c r="M131" s="81">
        <f>20%*C131</f>
        <v>9000</v>
      </c>
      <c r="N131" s="81"/>
      <c r="O131" s="81"/>
      <c r="P131" s="81">
        <f>40%*C131</f>
        <v>18000</v>
      </c>
      <c r="Q131" s="81"/>
      <c r="R131" s="81"/>
      <c r="S131" s="75">
        <f>40%*C131</f>
        <v>18000</v>
      </c>
      <c r="T131" s="75"/>
      <c r="U131" s="75"/>
      <c r="V131" s="75"/>
      <c r="W131" s="75"/>
      <c r="X131" s="75"/>
      <c r="Y131" s="75"/>
      <c r="Z131" s="75"/>
      <c r="AA131" s="75"/>
      <c r="AB131" s="75">
        <f t="shared" ref="AB131" si="140">SUM(K131:O131)</f>
        <v>9000</v>
      </c>
      <c r="AC131" s="75">
        <f t="shared" ref="AC131" si="141">SUM(P131:U131)</f>
        <v>36000</v>
      </c>
      <c r="AD131" s="75">
        <f t="shared" ref="AD131" si="142">SUM(V131:AA131)</f>
        <v>0</v>
      </c>
      <c r="AE131" s="75">
        <f t="shared" ref="AE131" si="143">+AB131+AC131+AD131</f>
        <v>45000</v>
      </c>
      <c r="AF131" s="78">
        <f>25%*60000</f>
        <v>15000</v>
      </c>
    </row>
    <row r="132" spans="1:32" s="60" customFormat="1" x14ac:dyDescent="0.2">
      <c r="A132" s="88"/>
      <c r="B132" s="130" t="s">
        <v>191</v>
      </c>
      <c r="C132" s="78">
        <v>181278</v>
      </c>
      <c r="D132" s="121">
        <v>0</v>
      </c>
      <c r="E132" s="122">
        <v>0</v>
      </c>
      <c r="F132" s="122">
        <v>0</v>
      </c>
      <c r="G132" s="122">
        <f>+E132+F132</f>
        <v>0</v>
      </c>
      <c r="H132" s="122">
        <f>+C132-G132</f>
        <v>181278</v>
      </c>
      <c r="I132" s="75"/>
      <c r="J132" s="75"/>
      <c r="K132" s="75"/>
      <c r="L132" s="75"/>
      <c r="M132" s="75"/>
      <c r="N132" s="75"/>
      <c r="O132" s="75"/>
      <c r="P132" s="75"/>
      <c r="Q132" s="75"/>
      <c r="R132" s="75"/>
      <c r="S132" s="75"/>
      <c r="T132" s="75"/>
      <c r="U132" s="75"/>
      <c r="V132" s="75"/>
      <c r="W132" s="75"/>
      <c r="X132" s="75"/>
      <c r="Y132" s="75"/>
      <c r="Z132" s="75"/>
      <c r="AA132" s="75"/>
      <c r="AB132" s="75">
        <f t="shared" ref="AB132" si="144">SUM(K132:O132)</f>
        <v>0</v>
      </c>
      <c r="AC132" s="75">
        <f t="shared" ref="AC132" si="145">SUM(P132:U132)</f>
        <v>0</v>
      </c>
      <c r="AD132" s="75">
        <f t="shared" ref="AD132" si="146">SUM(V132:AA132)</f>
        <v>0</v>
      </c>
      <c r="AE132" s="75">
        <f t="shared" ref="AE132" si="147">+AB132+AC132+AD132</f>
        <v>0</v>
      </c>
      <c r="AF132" s="78">
        <v>235522</v>
      </c>
    </row>
    <row r="133" spans="1:32" s="60" customFormat="1" x14ac:dyDescent="0.2">
      <c r="A133" s="117"/>
      <c r="B133" s="113" t="s">
        <v>200</v>
      </c>
      <c r="C133" s="131">
        <v>0</v>
      </c>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31">
        <v>0</v>
      </c>
    </row>
    <row r="134" spans="1:32" s="60" customFormat="1" x14ac:dyDescent="0.2">
      <c r="A134" s="117"/>
      <c r="B134" s="113" t="s">
        <v>199</v>
      </c>
      <c r="C134" s="131">
        <v>252900</v>
      </c>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31">
        <v>28100</v>
      </c>
    </row>
    <row r="135" spans="1:32" ht="22.5" customHeight="1" x14ac:dyDescent="0.2">
      <c r="A135" s="90">
        <v>3</v>
      </c>
      <c r="B135" s="97" t="s">
        <v>77</v>
      </c>
      <c r="C135" s="82">
        <f>SUM(C136:C139)-C140-C141</f>
        <v>224181</v>
      </c>
      <c r="D135" s="82">
        <f>SUM(D136:D139)</f>
        <v>84927</v>
      </c>
      <c r="E135" s="82">
        <f t="shared" ref="E135:G135" si="148">SUM(E136:E139)</f>
        <v>80981.350000000006</v>
      </c>
      <c r="F135" s="82">
        <f t="shared" si="148"/>
        <v>0</v>
      </c>
      <c r="G135" s="82">
        <f t="shared" si="148"/>
        <v>80981.350000000006</v>
      </c>
      <c r="H135" s="82">
        <f>SUM(H136:H139)</f>
        <v>53549</v>
      </c>
      <c r="I135" s="82"/>
      <c r="J135" s="82"/>
      <c r="K135" s="91"/>
      <c r="L135" s="91"/>
      <c r="M135" s="91"/>
      <c r="N135" s="91"/>
      <c r="O135" s="91"/>
      <c r="P135" s="91"/>
      <c r="Q135" s="91"/>
      <c r="R135" s="91"/>
      <c r="S135" s="91"/>
      <c r="T135" s="91"/>
      <c r="U135" s="91"/>
      <c r="V135" s="91"/>
      <c r="W135" s="91"/>
      <c r="X135" s="91"/>
      <c r="Y135" s="91"/>
      <c r="Z135" s="91"/>
      <c r="AA135" s="91"/>
      <c r="AB135" s="82">
        <f>SUM(AB136:AB139)</f>
        <v>10709.8</v>
      </c>
      <c r="AC135" s="82">
        <f t="shared" ref="AC135:AE135" si="149">SUM(AC136:AC139)</f>
        <v>21419.599999999999</v>
      </c>
      <c r="AD135" s="82">
        <f t="shared" si="149"/>
        <v>21419.599999999999</v>
      </c>
      <c r="AE135" s="82">
        <f t="shared" si="149"/>
        <v>53549</v>
      </c>
      <c r="AF135" s="82">
        <f>SUM(AF136:AF139)-AF140-AF141</f>
        <v>472450</v>
      </c>
    </row>
    <row r="136" spans="1:32" x14ac:dyDescent="0.2">
      <c r="A136" s="86" t="s">
        <v>162</v>
      </c>
      <c r="B136" s="98" t="s">
        <v>78</v>
      </c>
      <c r="C136" s="76">
        <v>114244</v>
      </c>
      <c r="D136" s="76">
        <v>67367</v>
      </c>
      <c r="E136" s="76">
        <v>31378</v>
      </c>
      <c r="F136" s="76">
        <v>0</v>
      </c>
      <c r="G136" s="76">
        <f>+E136+F136</f>
        <v>31378</v>
      </c>
      <c r="H136" s="76">
        <f>+D136-G136</f>
        <v>35989</v>
      </c>
      <c r="I136" s="76"/>
      <c r="J136" s="76"/>
      <c r="K136" s="76"/>
      <c r="L136" s="76"/>
      <c r="M136" s="76"/>
      <c r="N136" s="76">
        <f>+H136*20%</f>
        <v>7197.8</v>
      </c>
      <c r="O136" s="76"/>
      <c r="P136" s="76"/>
      <c r="Q136" s="76"/>
      <c r="R136" s="76"/>
      <c r="S136" s="76"/>
      <c r="T136" s="76">
        <f>40%*H136</f>
        <v>14395.6</v>
      </c>
      <c r="U136" s="76"/>
      <c r="V136" s="76"/>
      <c r="W136" s="76"/>
      <c r="X136" s="76"/>
      <c r="Y136" s="76"/>
      <c r="Z136" s="76"/>
      <c r="AA136" s="76">
        <f>40%*H136</f>
        <v>14395.6</v>
      </c>
      <c r="AB136" s="76">
        <f>SUM(K136:O136)</f>
        <v>7197.8</v>
      </c>
      <c r="AC136" s="76">
        <f>SUM(P136:U136)</f>
        <v>14395.6</v>
      </c>
      <c r="AD136" s="76">
        <f>SUM(V136:AA136)</f>
        <v>14395.6</v>
      </c>
      <c r="AE136" s="76">
        <f>+AB136+AC136+AD136</f>
        <v>35989</v>
      </c>
      <c r="AF136" s="76">
        <v>102856</v>
      </c>
    </row>
    <row r="137" spans="1:32" x14ac:dyDescent="0.2">
      <c r="A137" s="86" t="s">
        <v>163</v>
      </c>
      <c r="B137" s="98" t="s">
        <v>79</v>
      </c>
      <c r="C137" s="76">
        <v>18300</v>
      </c>
      <c r="D137" s="76">
        <v>17560</v>
      </c>
      <c r="E137" s="76">
        <v>0</v>
      </c>
      <c r="F137" s="76">
        <v>0</v>
      </c>
      <c r="G137" s="76">
        <f>+E137+F137</f>
        <v>0</v>
      </c>
      <c r="H137" s="76">
        <f t="shared" ref="H137:H138" si="150">+D137-G137</f>
        <v>17560</v>
      </c>
      <c r="I137" s="76"/>
      <c r="J137" s="76"/>
      <c r="K137" s="76"/>
      <c r="L137" s="76"/>
      <c r="M137" s="76"/>
      <c r="N137" s="76">
        <f>+H137*20%</f>
        <v>3512</v>
      </c>
      <c r="O137" s="76"/>
      <c r="P137" s="76"/>
      <c r="Q137" s="76"/>
      <c r="R137" s="76"/>
      <c r="S137" s="76"/>
      <c r="T137" s="76">
        <f>40%*H137</f>
        <v>7024</v>
      </c>
      <c r="U137" s="76"/>
      <c r="V137" s="76"/>
      <c r="W137" s="76"/>
      <c r="X137" s="76"/>
      <c r="Y137" s="76"/>
      <c r="Z137" s="76"/>
      <c r="AA137" s="76">
        <f>40%*H137</f>
        <v>7024</v>
      </c>
      <c r="AB137" s="76">
        <f>SUM(K137:O137)</f>
        <v>3512</v>
      </c>
      <c r="AC137" s="76">
        <f>SUM(P137:U137)</f>
        <v>7024</v>
      </c>
      <c r="AD137" s="76">
        <f>SUM(V137:AA137)</f>
        <v>7024</v>
      </c>
      <c r="AE137" s="76">
        <f>+AB137+AC137+AD137</f>
        <v>17560</v>
      </c>
      <c r="AF137" s="76">
        <v>11700</v>
      </c>
    </row>
    <row r="138" spans="1:32" x14ac:dyDescent="0.2">
      <c r="A138" s="138"/>
      <c r="B138" s="98" t="s">
        <v>191</v>
      </c>
      <c r="C138" s="76">
        <v>160445</v>
      </c>
      <c r="D138" s="76"/>
      <c r="E138" s="76"/>
      <c r="F138" s="76"/>
      <c r="G138" s="76"/>
      <c r="H138" s="76">
        <f t="shared" si="150"/>
        <v>0</v>
      </c>
      <c r="I138" s="76"/>
      <c r="J138" s="76"/>
      <c r="K138" s="76"/>
      <c r="L138" s="76"/>
      <c r="M138" s="76"/>
      <c r="N138" s="76"/>
      <c r="O138" s="76"/>
      <c r="P138" s="76"/>
      <c r="Q138" s="76"/>
      <c r="R138" s="76"/>
      <c r="S138" s="76"/>
      <c r="T138" s="76"/>
      <c r="U138" s="76"/>
      <c r="V138" s="76"/>
      <c r="W138" s="76"/>
      <c r="X138" s="76"/>
      <c r="Y138" s="76"/>
      <c r="Z138" s="76"/>
      <c r="AA138" s="76"/>
      <c r="AB138" s="76">
        <f>SUM(K138:O138)</f>
        <v>0</v>
      </c>
      <c r="AC138" s="76">
        <f>SUM(P138:U138)</f>
        <v>0</v>
      </c>
      <c r="AD138" s="76">
        <f>SUM(V138:AA138)</f>
        <v>0</v>
      </c>
      <c r="AE138" s="76">
        <f>+AB138+AC138+AD138</f>
        <v>0</v>
      </c>
      <c r="AF138" s="76">
        <v>382071</v>
      </c>
    </row>
    <row r="139" spans="1:32" x14ac:dyDescent="0.2">
      <c r="A139" s="138"/>
      <c r="B139" s="98" t="s">
        <v>193</v>
      </c>
      <c r="C139" s="76">
        <f>26730*3</f>
        <v>80190</v>
      </c>
      <c r="D139" s="76" t="s">
        <v>192</v>
      </c>
      <c r="E139" s="76">
        <v>49603.35</v>
      </c>
      <c r="F139" s="76">
        <v>0</v>
      </c>
      <c r="G139" s="76">
        <f>+E139+F139</f>
        <v>49603.35</v>
      </c>
      <c r="H139" s="76">
        <v>0</v>
      </c>
      <c r="I139" s="76"/>
      <c r="J139" s="76"/>
      <c r="K139" s="76"/>
      <c r="L139" s="76"/>
      <c r="M139" s="76"/>
      <c r="N139" s="76"/>
      <c r="O139" s="76"/>
      <c r="P139" s="76"/>
      <c r="Q139" s="76"/>
      <c r="R139" s="76"/>
      <c r="S139" s="76"/>
      <c r="T139" s="76"/>
      <c r="U139" s="76"/>
      <c r="V139" s="76"/>
      <c r="W139" s="76"/>
      <c r="X139" s="76"/>
      <c r="Y139" s="76"/>
      <c r="Z139" s="76"/>
      <c r="AA139" s="76"/>
      <c r="AB139" s="76">
        <f>SUM(K139:O139)</f>
        <v>0</v>
      </c>
      <c r="AC139" s="76">
        <f>SUM(P139:U139)</f>
        <v>0</v>
      </c>
      <c r="AD139" s="76">
        <f>SUM(V139:AA139)</f>
        <v>0</v>
      </c>
      <c r="AE139" s="76">
        <f>+AB139+AC139+AD139</f>
        <v>0</v>
      </c>
      <c r="AF139" s="76">
        <v>102832</v>
      </c>
    </row>
    <row r="140" spans="1:32" x14ac:dyDescent="0.2">
      <c r="A140" s="138"/>
      <c r="B140" s="98" t="s">
        <v>200</v>
      </c>
      <c r="C140" s="76">
        <v>129121</v>
      </c>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v>222256</v>
      </c>
    </row>
    <row r="141" spans="1:32" x14ac:dyDescent="0.2">
      <c r="A141" s="138"/>
      <c r="B141" s="98" t="s">
        <v>199</v>
      </c>
      <c r="C141" s="76">
        <v>19877</v>
      </c>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v>-95247</v>
      </c>
    </row>
    <row r="142" spans="1:32" x14ac:dyDescent="0.2">
      <c r="A142" s="90">
        <v>4</v>
      </c>
      <c r="B142" s="97" t="s">
        <v>167</v>
      </c>
      <c r="C142" s="82">
        <v>2613296</v>
      </c>
      <c r="D142" s="82">
        <v>832728.3</v>
      </c>
      <c r="E142" s="82">
        <v>832728.3</v>
      </c>
      <c r="F142" s="82">
        <v>0</v>
      </c>
      <c r="G142" s="82">
        <f>+F142+E142</f>
        <v>832728.3</v>
      </c>
      <c r="H142" s="82">
        <f>+D142-G142</f>
        <v>0</v>
      </c>
      <c r="I142" s="82"/>
      <c r="J142" s="82"/>
      <c r="K142" s="91"/>
      <c r="L142" s="91"/>
      <c r="M142" s="91"/>
      <c r="N142" s="91"/>
      <c r="O142" s="91"/>
      <c r="P142" s="91"/>
      <c r="Q142" s="91"/>
      <c r="R142" s="91"/>
      <c r="S142" s="91"/>
      <c r="T142" s="91"/>
      <c r="U142" s="91"/>
      <c r="V142" s="91"/>
      <c r="W142" s="91"/>
      <c r="X142" s="91"/>
      <c r="Y142" s="91"/>
      <c r="Z142" s="91"/>
      <c r="AA142" s="91"/>
      <c r="AB142" s="82">
        <v>0</v>
      </c>
      <c r="AC142" s="82">
        <v>0</v>
      </c>
      <c r="AD142" s="82">
        <v>0</v>
      </c>
      <c r="AE142" s="82">
        <v>0</v>
      </c>
      <c r="AF142" s="82">
        <v>1000000</v>
      </c>
    </row>
    <row r="143" spans="1:32" x14ac:dyDescent="0.2">
      <c r="A143" s="139">
        <v>5</v>
      </c>
      <c r="B143" s="97" t="s">
        <v>295</v>
      </c>
      <c r="C143" s="82">
        <v>415730</v>
      </c>
      <c r="D143" s="82">
        <v>0</v>
      </c>
      <c r="E143" s="82">
        <v>0</v>
      </c>
      <c r="F143" s="82">
        <v>0</v>
      </c>
      <c r="G143" s="82">
        <f>+F143+E143</f>
        <v>0</v>
      </c>
      <c r="H143" s="82">
        <f>+C143-G143</f>
        <v>415730</v>
      </c>
      <c r="I143" s="82"/>
      <c r="J143" s="82"/>
      <c r="K143" s="91"/>
      <c r="L143" s="91"/>
      <c r="M143" s="91"/>
      <c r="N143" s="91"/>
      <c r="O143" s="91"/>
      <c r="P143" s="91"/>
      <c r="Q143" s="91"/>
      <c r="R143" s="91"/>
      <c r="S143" s="91"/>
      <c r="T143" s="91"/>
      <c r="U143" s="91"/>
      <c r="V143" s="91"/>
      <c r="W143" s="91"/>
      <c r="X143" s="91"/>
      <c r="Y143" s="91"/>
      <c r="Z143" s="91"/>
      <c r="AA143" s="91"/>
      <c r="AB143" s="82">
        <v>0</v>
      </c>
      <c r="AC143" s="82">
        <v>0</v>
      </c>
      <c r="AD143" s="82">
        <v>0</v>
      </c>
      <c r="AE143" s="82">
        <v>0</v>
      </c>
      <c r="AF143" s="82">
        <v>283839</v>
      </c>
    </row>
    <row r="144" spans="1:32" ht="13.5" thickBot="1" x14ac:dyDescent="0.25">
      <c r="A144" s="137"/>
      <c r="B144" s="99" t="s">
        <v>0</v>
      </c>
      <c r="C144" s="96">
        <f>+C142+C135+C82+C7+C143</f>
        <v>9499999.8000000007</v>
      </c>
      <c r="D144" s="96">
        <f>+D142+D135+D82+D7+D143</f>
        <v>2080470.4240601636</v>
      </c>
      <c r="E144" s="96">
        <f t="shared" ref="E144:H144" si="151">+E142+E135+E82+E7+E143</f>
        <v>1850659.1800000002</v>
      </c>
      <c r="F144" s="96">
        <f t="shared" si="151"/>
        <v>0</v>
      </c>
      <c r="G144" s="96">
        <f>+G142+G135+G82+G7+G143</f>
        <v>1850659.1800000002</v>
      </c>
      <c r="H144" s="96">
        <f t="shared" si="151"/>
        <v>8010166.0540601639</v>
      </c>
      <c r="I144" s="96"/>
      <c r="J144" s="96"/>
      <c r="K144" s="100">
        <f>SUM(K7:K143)</f>
        <v>0</v>
      </c>
      <c r="L144" s="100">
        <f t="shared" ref="L144:AA144" si="152">SUM(L7:L143)</f>
        <v>7974.6</v>
      </c>
      <c r="M144" s="100">
        <f t="shared" si="152"/>
        <v>74750.234788571412</v>
      </c>
      <c r="N144" s="100">
        <f t="shared" si="152"/>
        <v>313941.93599800381</v>
      </c>
      <c r="O144" s="100">
        <f t="shared" si="152"/>
        <v>42276.5</v>
      </c>
      <c r="P144" s="100">
        <f t="shared" si="152"/>
        <v>53155.446300000003</v>
      </c>
      <c r="Q144" s="100">
        <f t="shared" si="152"/>
        <v>127857.00133982202</v>
      </c>
      <c r="R144" s="100">
        <f t="shared" si="152"/>
        <v>104273.66568000001</v>
      </c>
      <c r="S144" s="100">
        <f t="shared" si="152"/>
        <v>79000</v>
      </c>
      <c r="T144" s="100">
        <f t="shared" si="152"/>
        <v>174619.6</v>
      </c>
      <c r="U144" s="100">
        <f t="shared" si="152"/>
        <v>205312.54800000001</v>
      </c>
      <c r="V144" s="100">
        <f t="shared" si="152"/>
        <v>163806.33283999999</v>
      </c>
      <c r="W144" s="100">
        <f t="shared" si="152"/>
        <v>247440</v>
      </c>
      <c r="X144" s="100">
        <f t="shared" si="152"/>
        <v>48900</v>
      </c>
      <c r="Y144" s="100">
        <f t="shared" si="152"/>
        <v>20900</v>
      </c>
      <c r="Z144" s="100">
        <f t="shared" si="152"/>
        <v>98400</v>
      </c>
      <c r="AA144" s="100">
        <f t="shared" si="152"/>
        <v>99419.6</v>
      </c>
      <c r="AB144" s="96">
        <f t="shared" ref="AB144:AE144" si="153">+AB142+AB135+AB82+AB7+AB143</f>
        <v>438943.27078657527</v>
      </c>
      <c r="AC144" s="96">
        <f t="shared" si="153"/>
        <v>744218.26131982205</v>
      </c>
      <c r="AD144" s="96">
        <f t="shared" si="153"/>
        <v>678865.93283999991</v>
      </c>
      <c r="AE144" s="96">
        <f t="shared" si="153"/>
        <v>1862027.4649463973</v>
      </c>
      <c r="AF144" s="96">
        <f>+AF142+AF135+AF82+AF7+AF143</f>
        <v>6500000.5899999999</v>
      </c>
    </row>
    <row r="145" spans="1:34" x14ac:dyDescent="0.2">
      <c r="A145" s="61"/>
      <c r="B145" s="62" t="s">
        <v>3</v>
      </c>
      <c r="C145" s="63"/>
      <c r="D145" s="63"/>
      <c r="E145" s="63"/>
      <c r="F145" s="63"/>
      <c r="G145" s="63"/>
      <c r="H145" s="63"/>
      <c r="I145" s="63"/>
      <c r="J145" s="63"/>
      <c r="K145" s="64"/>
      <c r="L145" s="64"/>
      <c r="M145" s="64"/>
      <c r="N145" s="64"/>
      <c r="O145" s="64"/>
      <c r="P145" s="64"/>
      <c r="Q145" s="64"/>
      <c r="R145" s="64"/>
      <c r="S145" s="64"/>
      <c r="T145" s="64"/>
      <c r="U145" s="64"/>
      <c r="V145" s="64"/>
      <c r="W145" s="64"/>
      <c r="X145" s="64"/>
      <c r="Y145" s="64"/>
      <c r="Z145" s="64"/>
      <c r="AA145" s="64"/>
      <c r="AB145" s="64"/>
      <c r="AC145" s="64"/>
      <c r="AD145" s="64"/>
      <c r="AH145" s="65"/>
    </row>
    <row r="146" spans="1:34" x14ac:dyDescent="0.2">
      <c r="A146" s="50"/>
      <c r="B146" s="66" t="s">
        <v>1</v>
      </c>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5"/>
      <c r="AF146" s="65"/>
      <c r="AG146" s="65"/>
      <c r="AH146" s="65"/>
    </row>
    <row r="147" spans="1:34" x14ac:dyDescent="0.2">
      <c r="A147" s="50"/>
      <c r="B147" s="67" t="s">
        <v>2</v>
      </c>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4"/>
      <c r="AC147" s="64"/>
      <c r="AD147" s="64"/>
    </row>
    <row r="148" spans="1:34" x14ac:dyDescent="0.2">
      <c r="K148" s="69"/>
      <c r="L148" s="69"/>
      <c r="M148" s="69"/>
      <c r="N148" s="69"/>
      <c r="AC148" s="65"/>
      <c r="AD148" s="65"/>
      <c r="AE148" s="65"/>
      <c r="AF148" s="65"/>
      <c r="AG148" s="65"/>
    </row>
    <row r="149" spans="1:34" x14ac:dyDescent="0.2">
      <c r="C149" s="109" t="s">
        <v>297</v>
      </c>
      <c r="D149" s="109">
        <v>4470</v>
      </c>
      <c r="M149" s="65"/>
      <c r="N149" s="65"/>
      <c r="AB149" s="65"/>
      <c r="AC149" s="65"/>
    </row>
    <row r="150" spans="1:34" x14ac:dyDescent="0.2">
      <c r="C150" s="65"/>
      <c r="D150" s="65"/>
      <c r="E150" s="65"/>
      <c r="F150" s="65"/>
      <c r="G150" s="65"/>
      <c r="H150" s="65"/>
      <c r="I150" s="65"/>
      <c r="J150" s="65"/>
      <c r="AA150" s="70"/>
    </row>
    <row r="151" spans="1:34" x14ac:dyDescent="0.2">
      <c r="C151" s="140" t="s">
        <v>298</v>
      </c>
      <c r="D151" s="140">
        <v>3980</v>
      </c>
      <c r="M151" s="65"/>
      <c r="AA151" s="70"/>
      <c r="AB151" s="65"/>
    </row>
    <row r="152" spans="1:34" x14ac:dyDescent="0.2">
      <c r="N152" s="65"/>
      <c r="AA152" s="70"/>
      <c r="AB152" s="65"/>
    </row>
  </sheetData>
  <customSheetViews>
    <customSheetView guid="{23569F49-FBC0-4F47-9C51-282C545B103D}" scale="75" hiddenColumns="1" state="hidden">
      <pane xSplit="3" ySplit="5" topLeftCell="E7" activePane="bottomRight" state="frozen"/>
      <selection pane="bottomRight" activeCell="AI1" sqref="AI1:AI1048576"/>
      <pageMargins left="0.70866141732283472" right="0.70866141732283472" top="0.74803149606299213" bottom="0.74803149606299213" header="0.31496062992125984" footer="0.31496062992125984"/>
      <pageSetup paperSize="14" scale="50" orientation="portrait" r:id="rId1"/>
    </customSheetView>
    <customSheetView guid="{D80C08F4-E264-4AD6-98CE-CE2933253099}" scale="75" hiddenColumns="1" state="hidden">
      <pane xSplit="4" ySplit="6" topLeftCell="E7" activePane="bottomRight" state="frozen"/>
      <selection pane="bottomRight" activeCell="AI1" sqref="AI1:AI1048576"/>
      <pageMargins left="0.70866141732283472" right="0.70866141732283472" top="0.74803149606299213" bottom="0.74803149606299213" header="0.31496062992125984" footer="0.31496062992125984"/>
      <pageSetup paperSize="14" scale="50" orientation="portrait" r:id="rId2"/>
    </customSheetView>
    <customSheetView guid="{93ADF27F-9A18-4647-82B7-CE6A8B02AE32}" scale="75" hiddenColumns="1" state="hidden">
      <pane xSplit="4" ySplit="6" topLeftCell="E7" activePane="bottomRight" state="frozen"/>
      <selection pane="bottomRight" activeCell="AI1" sqref="AI1:AI1048576"/>
      <pageMargins left="0.70866141732283472" right="0.70866141732283472" top="0.74803149606299213" bottom="0.74803149606299213" header="0.31496062992125984" footer="0.31496062992125984"/>
      <pageSetup paperSize="14" scale="50" orientation="portrait" r:id="rId3"/>
    </customSheetView>
    <customSheetView guid="{CDD4CC9E-6119-4CA0-8931-C42027CB6312}" scale="75" hiddenColumns="1" state="hidden">
      <pane xSplit="4" ySplit="6" topLeftCell="E7" activePane="bottomRight" state="frozen"/>
      <selection pane="bottomRight" activeCell="AI1" sqref="AI1:AI1048576"/>
      <pageMargins left="0.70866141732283472" right="0.70866141732283472" top="0.74803149606299213" bottom="0.74803149606299213" header="0.31496062992125984" footer="0.31496062992125984"/>
      <pageSetup paperSize="14" scale="50" orientation="portrait" r:id="rId4"/>
    </customSheetView>
    <customSheetView guid="{6AEDB835-43F0-481E-A780-2C561C644D12}" scale="75" hiddenColumns="1" state="hidden">
      <pane xSplit="3" ySplit="5" topLeftCell="E7" activePane="bottomRight" state="frozen"/>
      <selection pane="bottomRight" activeCell="AI1" sqref="AI1:AI1048576"/>
      <pageMargins left="0.70866141732283472" right="0.70866141732283472" top="0.74803149606299213" bottom="0.74803149606299213" header="0.31496062992125984" footer="0.31496062992125984"/>
      <pageSetup paperSize="14" scale="50" orientation="portrait" r:id="rId5"/>
    </customSheetView>
    <customSheetView guid="{7E7CA3FB-6FDA-4256-BB02-7B4FCCA3FFF0}" scale="75" hiddenColumns="1" state="hidden">
      <pane xSplit="4" ySplit="6" topLeftCell="E7" activePane="bottomRight" state="frozen"/>
      <selection pane="bottomRight" activeCell="AI1" sqref="AI1:AI1048576"/>
      <pageMargins left="0.70866141732283472" right="0.70866141732283472" top="0.74803149606299213" bottom="0.74803149606299213" header="0.31496062992125984" footer="0.31496062992125984"/>
      <pageSetup paperSize="14" scale="50" orientation="portrait" r:id="rId6"/>
    </customSheetView>
  </customSheetViews>
  <mergeCells count="4">
    <mergeCell ref="B1:AD1"/>
    <mergeCell ref="C5:D5"/>
    <mergeCell ref="E5:H5"/>
    <mergeCell ref="K5:AE5"/>
  </mergeCells>
  <pageMargins left="0.70866141732283472" right="0.70866141732283472" top="0.74803149606299213" bottom="0.74803149606299213" header="0.31496062992125984" footer="0.31496062992125984"/>
  <pageSetup paperSize="14" scale="50" orientation="portrait" r:id="rId7"/>
  <legacy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11"/>
  <sheetViews>
    <sheetView topLeftCell="A7" zoomScale="85" zoomScaleNormal="85" workbookViewId="0">
      <selection activeCell="B9" sqref="B9:C98"/>
    </sheetView>
  </sheetViews>
  <sheetFormatPr baseColWidth="10" defaultColWidth="9.140625" defaultRowHeight="12.75" x14ac:dyDescent="0.2"/>
  <cols>
    <col min="1" max="1" width="9.42578125" style="43" customWidth="1"/>
    <col min="2" max="2" width="37.28515625" style="43" customWidth="1"/>
    <col min="3" max="3" width="15.42578125" style="43" customWidth="1"/>
    <col min="4" max="4" width="13.85546875" style="43" customWidth="1"/>
    <col min="5" max="5" width="14.7109375" style="43" customWidth="1"/>
    <col min="6" max="6" width="14.42578125" style="43" customWidth="1"/>
    <col min="7" max="8" width="11.85546875" style="43" customWidth="1"/>
    <col min="9" max="9" width="11.7109375" style="43" customWidth="1"/>
    <col min="10" max="10" width="13.28515625" style="43" customWidth="1"/>
    <col min="11" max="11" width="9.28515625" style="43" customWidth="1"/>
    <col min="12" max="12" width="7.5703125" style="43" customWidth="1"/>
    <col min="13" max="13" width="8" style="43" customWidth="1"/>
    <col min="14" max="14" width="7.28515625" style="43" customWidth="1"/>
    <col min="15" max="15" width="7.7109375" style="43" customWidth="1"/>
    <col min="16" max="16" width="7.140625" style="43" bestFit="1" customWidth="1"/>
    <col min="17" max="17" width="8" style="43" customWidth="1"/>
    <col min="18" max="18" width="7.85546875" style="43" customWidth="1"/>
    <col min="19" max="20" width="11.42578125" style="43" customWidth="1"/>
    <col min="21" max="21" width="7.85546875" style="43" customWidth="1"/>
    <col min="22" max="22" width="9.140625" style="43" customWidth="1"/>
    <col min="23" max="23" width="8.140625" style="43" customWidth="1"/>
    <col min="24" max="24" width="8.85546875" style="43" customWidth="1"/>
    <col min="25" max="25" width="8.42578125" style="43" customWidth="1"/>
    <col min="26" max="26" width="7.5703125" style="43" customWidth="1"/>
    <col min="27" max="29" width="8.7109375" style="43" customWidth="1"/>
    <col min="30" max="30" width="12.7109375" style="43" bestFit="1" customWidth="1"/>
    <col min="31" max="31" width="15" style="43" bestFit="1" customWidth="1"/>
    <col min="32" max="32" width="13.7109375" style="43" bestFit="1" customWidth="1"/>
    <col min="33" max="33" width="13.42578125" style="43" customWidth="1"/>
    <col min="34" max="34" width="11.5703125" style="43" customWidth="1"/>
    <col min="35" max="16384" width="9.140625" style="43"/>
  </cols>
  <sheetData>
    <row r="1" spans="1:34" x14ac:dyDescent="0.2">
      <c r="A1" s="50"/>
      <c r="B1" s="143" t="s">
        <v>342</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row>
    <row r="2" spans="1:34" x14ac:dyDescent="0.2">
      <c r="A2" s="50"/>
      <c r="B2" s="143" t="s">
        <v>337</v>
      </c>
      <c r="C2" s="51"/>
      <c r="D2" s="51"/>
      <c r="E2" s="51"/>
      <c r="F2" s="51"/>
      <c r="G2" s="51"/>
      <c r="H2" s="51"/>
      <c r="I2" s="51"/>
      <c r="J2" s="51"/>
      <c r="K2" s="50"/>
      <c r="L2" s="50"/>
      <c r="M2" s="50"/>
      <c r="N2" s="50"/>
      <c r="O2" s="50"/>
      <c r="P2" s="50"/>
      <c r="Q2" s="50"/>
      <c r="R2" s="50"/>
      <c r="S2" s="50"/>
      <c r="T2" s="50"/>
      <c r="U2" s="50"/>
      <c r="V2" s="50"/>
      <c r="W2" s="50"/>
      <c r="X2" s="50"/>
      <c r="Y2" s="50"/>
      <c r="Z2" s="50"/>
      <c r="AA2" s="50"/>
      <c r="AB2" s="50"/>
      <c r="AC2" s="50"/>
      <c r="AD2" s="50"/>
      <c r="AE2" s="50"/>
    </row>
    <row r="3" spans="1:34" x14ac:dyDescent="0.2">
      <c r="A3" s="50"/>
      <c r="B3" s="143" t="s">
        <v>335</v>
      </c>
      <c r="C3" s="51"/>
      <c r="D3" s="51"/>
      <c r="E3" s="51"/>
      <c r="F3" s="51"/>
      <c r="G3" s="51"/>
      <c r="H3" s="51"/>
      <c r="I3" s="51"/>
      <c r="J3" s="51"/>
      <c r="K3" s="50"/>
      <c r="L3" s="50"/>
      <c r="M3" s="50"/>
      <c r="N3" s="50"/>
      <c r="O3" s="50"/>
      <c r="P3" s="50"/>
      <c r="Q3" s="50"/>
      <c r="R3" s="50"/>
      <c r="S3" s="50"/>
      <c r="T3" s="50"/>
      <c r="U3" s="50"/>
      <c r="V3" s="50"/>
      <c r="W3" s="50"/>
      <c r="X3" s="50"/>
      <c r="Y3" s="50"/>
      <c r="Z3" s="50"/>
      <c r="AA3" s="50"/>
      <c r="AB3" s="50"/>
      <c r="AC3" s="50"/>
      <c r="AD3" s="50"/>
      <c r="AE3" s="50"/>
    </row>
    <row r="4" spans="1:34" x14ac:dyDescent="0.2">
      <c r="A4" s="50"/>
      <c r="B4" s="143" t="s">
        <v>336</v>
      </c>
      <c r="C4" s="51"/>
      <c r="D4" s="51"/>
      <c r="E4" s="51"/>
      <c r="F4" s="51"/>
      <c r="G4" s="51"/>
      <c r="H4" s="51"/>
      <c r="I4" s="51"/>
      <c r="J4" s="51"/>
      <c r="K4" s="50"/>
      <c r="L4" s="50"/>
      <c r="M4" s="50"/>
      <c r="N4" s="50"/>
      <c r="O4" s="50"/>
      <c r="P4" s="50"/>
      <c r="Q4" s="50"/>
      <c r="R4" s="50"/>
      <c r="S4" s="50"/>
      <c r="T4" s="50"/>
      <c r="U4" s="50"/>
      <c r="V4" s="50"/>
      <c r="W4" s="50"/>
      <c r="X4" s="50"/>
      <c r="Y4" s="50"/>
      <c r="Z4" s="50"/>
      <c r="AA4" s="50"/>
      <c r="AB4" s="50"/>
      <c r="AC4" s="50"/>
      <c r="AD4" s="50"/>
      <c r="AE4" s="50"/>
    </row>
    <row r="5" spans="1:34" ht="51" customHeight="1" x14ac:dyDescent="0.2">
      <c r="A5" s="53"/>
      <c r="B5" s="54"/>
      <c r="C5" s="332" t="s">
        <v>398</v>
      </c>
      <c r="D5" s="336"/>
      <c r="E5" s="336"/>
      <c r="F5" s="336"/>
      <c r="G5" s="336"/>
      <c r="H5" s="336"/>
      <c r="I5" s="333"/>
      <c r="J5" s="111"/>
      <c r="K5" s="335" t="s">
        <v>320</v>
      </c>
      <c r="L5" s="335"/>
      <c r="M5" s="335"/>
      <c r="N5" s="335"/>
      <c r="O5" s="335"/>
      <c r="P5" s="335"/>
      <c r="Q5" s="335"/>
      <c r="R5" s="335"/>
      <c r="S5" s="335"/>
      <c r="T5" s="335"/>
      <c r="U5" s="335"/>
      <c r="V5" s="335"/>
      <c r="W5" s="335"/>
      <c r="X5" s="335"/>
      <c r="Y5" s="335"/>
      <c r="Z5" s="335"/>
      <c r="AA5" s="335"/>
      <c r="AB5" s="335"/>
      <c r="AC5" s="335"/>
      <c r="AD5" s="335"/>
      <c r="AE5" s="335"/>
      <c r="AF5" s="335"/>
    </row>
    <row r="6" spans="1:34" ht="38.25" x14ac:dyDescent="0.2">
      <c r="A6" s="55"/>
      <c r="B6" s="56"/>
      <c r="C6" s="340" t="s">
        <v>397</v>
      </c>
      <c r="D6" s="340" t="s">
        <v>394</v>
      </c>
      <c r="E6" s="340" t="s">
        <v>396</v>
      </c>
      <c r="F6" s="340" t="s">
        <v>395</v>
      </c>
      <c r="G6" s="337" t="s">
        <v>69</v>
      </c>
      <c r="H6" s="338"/>
      <c r="I6" s="339"/>
      <c r="J6" s="144" t="s">
        <v>340</v>
      </c>
      <c r="K6" s="106">
        <v>42887</v>
      </c>
      <c r="L6" s="106">
        <v>42917</v>
      </c>
      <c r="M6" s="106">
        <v>42948</v>
      </c>
      <c r="N6" s="106">
        <v>42979</v>
      </c>
      <c r="O6" s="106">
        <v>43009</v>
      </c>
      <c r="P6" s="106">
        <v>43040</v>
      </c>
      <c r="Q6" s="106">
        <v>43070</v>
      </c>
      <c r="R6" s="106">
        <v>43101</v>
      </c>
      <c r="S6" s="106">
        <v>43132</v>
      </c>
      <c r="T6" s="106">
        <v>43160</v>
      </c>
      <c r="U6" s="106">
        <v>43191</v>
      </c>
      <c r="V6" s="106">
        <v>43221</v>
      </c>
      <c r="W6" s="106">
        <v>43252</v>
      </c>
      <c r="X6" s="106">
        <v>43282</v>
      </c>
      <c r="Y6" s="106">
        <v>43313</v>
      </c>
      <c r="Z6" s="106">
        <v>43344</v>
      </c>
      <c r="AA6" s="106">
        <v>43374</v>
      </c>
      <c r="AB6" s="106">
        <v>43405</v>
      </c>
      <c r="AC6" s="106">
        <v>43435</v>
      </c>
      <c r="AD6" s="107" t="s">
        <v>412</v>
      </c>
      <c r="AE6" s="107" t="s">
        <v>413</v>
      </c>
      <c r="AF6" s="107" t="s">
        <v>80</v>
      </c>
    </row>
    <row r="7" spans="1:34" x14ac:dyDescent="0.2">
      <c r="A7" s="55"/>
      <c r="B7" s="56"/>
      <c r="C7" s="341"/>
      <c r="D7" s="341"/>
      <c r="E7" s="341"/>
      <c r="F7" s="341"/>
      <c r="G7" s="103" t="s">
        <v>399</v>
      </c>
      <c r="H7" s="155" t="s">
        <v>400</v>
      </c>
      <c r="I7" s="155" t="s">
        <v>401</v>
      </c>
      <c r="J7" s="144"/>
      <c r="K7" s="106"/>
      <c r="L7" s="106"/>
      <c r="M7" s="106"/>
      <c r="N7" s="106"/>
      <c r="O7" s="106"/>
      <c r="P7" s="106"/>
      <c r="Q7" s="106"/>
      <c r="R7" s="106"/>
      <c r="S7" s="106"/>
      <c r="T7" s="106"/>
      <c r="U7" s="106"/>
      <c r="V7" s="106"/>
      <c r="W7" s="106"/>
      <c r="X7" s="106"/>
      <c r="Y7" s="106"/>
      <c r="Z7" s="106"/>
      <c r="AA7" s="106"/>
      <c r="AB7" s="106"/>
      <c r="AC7" s="106"/>
      <c r="AD7" s="107"/>
      <c r="AE7" s="107"/>
      <c r="AF7" s="107"/>
    </row>
    <row r="8" spans="1:34" x14ac:dyDescent="0.2">
      <c r="A8" s="101">
        <v>1</v>
      </c>
      <c r="B8" s="57" t="s">
        <v>402</v>
      </c>
      <c r="C8" s="82">
        <f>+C9+C15+C19+C25</f>
        <v>0</v>
      </c>
      <c r="D8" s="82"/>
      <c r="E8" s="82"/>
      <c r="F8" s="82"/>
      <c r="G8" s="82"/>
      <c r="H8" s="82"/>
      <c r="I8" s="82">
        <f t="shared" ref="I8:AA8" si="0">+I9+I15+I19+I25</f>
        <v>0</v>
      </c>
      <c r="J8" s="82">
        <f t="shared" si="0"/>
        <v>0</v>
      </c>
      <c r="K8" s="82">
        <f t="shared" si="0"/>
        <v>2</v>
      </c>
      <c r="L8" s="82">
        <f t="shared" si="0"/>
        <v>3</v>
      </c>
      <c r="M8" s="82">
        <f t="shared" si="0"/>
        <v>3</v>
      </c>
      <c r="N8" s="82">
        <f t="shared" si="0"/>
        <v>3</v>
      </c>
      <c r="O8" s="82">
        <f t="shared" si="0"/>
        <v>3</v>
      </c>
      <c r="P8" s="82">
        <f t="shared" si="0"/>
        <v>3</v>
      </c>
      <c r="Q8" s="82">
        <f t="shared" si="0"/>
        <v>1</v>
      </c>
      <c r="R8" s="82">
        <f t="shared" si="0"/>
        <v>1</v>
      </c>
      <c r="S8" s="82">
        <f t="shared" si="0"/>
        <v>2</v>
      </c>
      <c r="T8" s="82">
        <f t="shared" si="0"/>
        <v>4</v>
      </c>
      <c r="U8" s="82">
        <f t="shared" si="0"/>
        <v>4</v>
      </c>
      <c r="V8" s="82">
        <f t="shared" si="0"/>
        <v>6</v>
      </c>
      <c r="W8" s="82">
        <f t="shared" si="0"/>
        <v>6</v>
      </c>
      <c r="X8" s="82">
        <f t="shared" si="0"/>
        <v>6</v>
      </c>
      <c r="Y8" s="82">
        <f t="shared" si="0"/>
        <v>5</v>
      </c>
      <c r="Z8" s="82">
        <f t="shared" si="0"/>
        <v>3</v>
      </c>
      <c r="AA8" s="82">
        <f t="shared" si="0"/>
        <v>2</v>
      </c>
      <c r="AB8" s="82"/>
      <c r="AC8" s="82"/>
      <c r="AD8" s="82">
        <f>+AD9+AD15+AD19+AD25</f>
        <v>26</v>
      </c>
      <c r="AE8" s="82">
        <f>+AE9+AE15+AE19+AE25</f>
        <v>50</v>
      </c>
      <c r="AF8" s="82">
        <f>+AF9+AF15+AF19+AF25</f>
        <v>76</v>
      </c>
    </row>
    <row r="9" spans="1:34" x14ac:dyDescent="0.2">
      <c r="A9" s="86" t="s">
        <v>153</v>
      </c>
      <c r="B9" s="59" t="s">
        <v>403</v>
      </c>
      <c r="C9" s="76">
        <f>SUM(C10:C14)</f>
        <v>0</v>
      </c>
      <c r="D9" s="76"/>
      <c r="E9" s="76"/>
      <c r="F9" s="76"/>
      <c r="G9" s="76"/>
      <c r="H9" s="76"/>
      <c r="I9" s="76">
        <f>SUM(I10:I14)</f>
        <v>0</v>
      </c>
      <c r="J9" s="76"/>
      <c r="K9" s="76">
        <f t="shared" ref="K9:AA9" si="1">+K14</f>
        <v>0</v>
      </c>
      <c r="L9" s="76">
        <f t="shared" si="1"/>
        <v>0</v>
      </c>
      <c r="M9" s="76">
        <f t="shared" si="1"/>
        <v>0</v>
      </c>
      <c r="N9" s="76">
        <f t="shared" si="1"/>
        <v>0</v>
      </c>
      <c r="O9" s="76">
        <f t="shared" si="1"/>
        <v>0</v>
      </c>
      <c r="P9" s="76">
        <f t="shared" si="1"/>
        <v>0</v>
      </c>
      <c r="Q9" s="76">
        <f t="shared" si="1"/>
        <v>0</v>
      </c>
      <c r="R9" s="76">
        <f t="shared" si="1"/>
        <v>0</v>
      </c>
      <c r="S9" s="76">
        <f t="shared" si="1"/>
        <v>1</v>
      </c>
      <c r="T9" s="76">
        <f t="shared" si="1"/>
        <v>1</v>
      </c>
      <c r="U9" s="76">
        <f t="shared" si="1"/>
        <v>1</v>
      </c>
      <c r="V9" s="76">
        <f t="shared" si="1"/>
        <v>1</v>
      </c>
      <c r="W9" s="76">
        <f t="shared" si="1"/>
        <v>1</v>
      </c>
      <c r="X9" s="76">
        <f t="shared" si="1"/>
        <v>1</v>
      </c>
      <c r="Y9" s="76">
        <f t="shared" si="1"/>
        <v>1</v>
      </c>
      <c r="Z9" s="76">
        <f t="shared" si="1"/>
        <v>0</v>
      </c>
      <c r="AA9" s="76">
        <f t="shared" si="1"/>
        <v>0</v>
      </c>
      <c r="AB9" s="76"/>
      <c r="AC9" s="76"/>
      <c r="AD9" s="76">
        <f>SUM(AD10:AD14)</f>
        <v>7</v>
      </c>
      <c r="AE9" s="76">
        <f>SUM(AE10:AE14)</f>
        <v>19</v>
      </c>
      <c r="AF9" s="76">
        <f>SUM(AF10:AF14)</f>
        <v>26</v>
      </c>
      <c r="AH9" s="110"/>
    </row>
    <row r="10" spans="1:34" x14ac:dyDescent="0.2">
      <c r="A10" s="141" t="s">
        <v>71</v>
      </c>
      <c r="B10" s="142" t="s">
        <v>94</v>
      </c>
      <c r="C10" s="77"/>
      <c r="D10" s="77"/>
      <c r="E10" s="77"/>
      <c r="F10" s="77"/>
      <c r="G10" s="77"/>
      <c r="H10" s="77"/>
      <c r="I10" s="77"/>
      <c r="J10" s="77"/>
      <c r="K10" s="108"/>
      <c r="L10" s="108"/>
      <c r="M10" s="108"/>
      <c r="N10" s="79"/>
      <c r="O10" s="79"/>
      <c r="P10" s="79"/>
      <c r="Q10" s="79"/>
      <c r="R10" s="81">
        <v>1</v>
      </c>
      <c r="S10" s="81">
        <v>1</v>
      </c>
      <c r="T10" s="81">
        <v>1</v>
      </c>
      <c r="U10" s="81">
        <v>1</v>
      </c>
      <c r="V10" s="77"/>
      <c r="W10" s="77"/>
      <c r="X10" s="77"/>
      <c r="Y10" s="77"/>
      <c r="Z10" s="77"/>
      <c r="AA10" s="77"/>
      <c r="AB10" s="77"/>
      <c r="AC10" s="77"/>
      <c r="AD10" s="77">
        <f>SUM(K10:R10)</f>
        <v>1</v>
      </c>
      <c r="AE10" s="77">
        <f>SUM(S10:AA10)</f>
        <v>3</v>
      </c>
      <c r="AF10" s="77">
        <f>+AE10+AD10</f>
        <v>4</v>
      </c>
      <c r="AH10" s="110"/>
    </row>
    <row r="11" spans="1:34" x14ac:dyDescent="0.2">
      <c r="A11" s="141" t="s">
        <v>72</v>
      </c>
      <c r="B11" s="142" t="s">
        <v>94</v>
      </c>
      <c r="C11" s="77"/>
      <c r="D11" s="77"/>
      <c r="E11" s="77"/>
      <c r="F11" s="77"/>
      <c r="G11" s="77"/>
      <c r="H11" s="77"/>
      <c r="I11" s="77"/>
      <c r="J11" s="77"/>
      <c r="K11" s="77"/>
      <c r="L11" s="77"/>
      <c r="M11" s="77"/>
      <c r="N11" s="77"/>
      <c r="O11" s="77"/>
      <c r="P11" s="108"/>
      <c r="Q11" s="108"/>
      <c r="R11" s="108"/>
      <c r="S11" s="108"/>
      <c r="T11" s="79"/>
      <c r="U11" s="79"/>
      <c r="V11" s="79"/>
      <c r="W11" s="79"/>
      <c r="X11" s="81">
        <v>1</v>
      </c>
      <c r="Y11" s="81">
        <v>1</v>
      </c>
      <c r="Z11" s="81">
        <v>1</v>
      </c>
      <c r="AA11" s="81">
        <v>1</v>
      </c>
      <c r="AB11" s="81"/>
      <c r="AC11" s="81"/>
      <c r="AD11" s="77">
        <f t="shared" ref="AD11:AD14" si="2">SUM(K11:R11)</f>
        <v>0</v>
      </c>
      <c r="AE11" s="77">
        <f t="shared" ref="AE11:AE14" si="3">SUM(S11:AA11)</f>
        <v>4</v>
      </c>
      <c r="AF11" s="77">
        <f t="shared" ref="AF11:AF14" si="4">+AE11+AD11</f>
        <v>4</v>
      </c>
      <c r="AH11" s="110"/>
    </row>
    <row r="12" spans="1:34" x14ac:dyDescent="0.2">
      <c r="A12" s="141" t="s">
        <v>141</v>
      </c>
      <c r="B12" s="142" t="s">
        <v>94</v>
      </c>
      <c r="C12" s="77"/>
      <c r="D12" s="77"/>
      <c r="E12" s="77"/>
      <c r="F12" s="77"/>
      <c r="G12" s="77"/>
      <c r="H12" s="77"/>
      <c r="I12" s="77"/>
      <c r="J12" s="77"/>
      <c r="K12" s="79"/>
      <c r="L12" s="79"/>
      <c r="M12" s="79"/>
      <c r="N12" s="81">
        <v>1</v>
      </c>
      <c r="O12" s="81">
        <v>1</v>
      </c>
      <c r="P12" s="81">
        <v>1</v>
      </c>
      <c r="Q12" s="81">
        <v>1</v>
      </c>
      <c r="R12" s="81">
        <v>1</v>
      </c>
      <c r="S12" s="81">
        <v>1</v>
      </c>
      <c r="T12" s="77"/>
      <c r="U12" s="77"/>
      <c r="V12" s="77"/>
      <c r="W12" s="77"/>
      <c r="X12" s="77"/>
      <c r="Y12" s="77"/>
      <c r="Z12" s="77"/>
      <c r="AA12" s="77"/>
      <c r="AB12" s="77"/>
      <c r="AC12" s="77"/>
      <c r="AD12" s="77">
        <f>SUM(K12:S12)</f>
        <v>6</v>
      </c>
      <c r="AE12" s="77">
        <f t="shared" si="3"/>
        <v>1</v>
      </c>
      <c r="AF12" s="77">
        <f t="shared" si="4"/>
        <v>7</v>
      </c>
      <c r="AH12" s="110"/>
    </row>
    <row r="13" spans="1:34" x14ac:dyDescent="0.2">
      <c r="A13" s="141" t="s">
        <v>343</v>
      </c>
      <c r="B13" s="142" t="s">
        <v>94</v>
      </c>
      <c r="C13" s="77"/>
      <c r="D13" s="77"/>
      <c r="E13" s="77"/>
      <c r="F13" s="77"/>
      <c r="G13" s="77"/>
      <c r="H13" s="77"/>
      <c r="I13" s="77"/>
      <c r="J13" s="77"/>
      <c r="K13" s="77"/>
      <c r="L13" s="77"/>
      <c r="M13" s="77"/>
      <c r="N13" s="108"/>
      <c r="O13" s="108"/>
      <c r="P13" s="108"/>
      <c r="Q13" s="79"/>
      <c r="R13" s="79"/>
      <c r="S13" s="79"/>
      <c r="T13" s="79"/>
      <c r="U13" s="81">
        <v>1</v>
      </c>
      <c r="V13" s="81">
        <v>1</v>
      </c>
      <c r="W13" s="81">
        <v>1</v>
      </c>
      <c r="X13" s="81">
        <v>1</v>
      </c>
      <c r="Y13" s="77"/>
      <c r="Z13" s="77"/>
      <c r="AA13" s="77"/>
      <c r="AB13" s="77"/>
      <c r="AC13" s="77"/>
      <c r="AD13" s="77">
        <f t="shared" si="2"/>
        <v>0</v>
      </c>
      <c r="AE13" s="77">
        <f t="shared" si="3"/>
        <v>4</v>
      </c>
      <c r="AF13" s="77">
        <f t="shared" si="4"/>
        <v>4</v>
      </c>
      <c r="AH13" s="110"/>
    </row>
    <row r="14" spans="1:34" x14ac:dyDescent="0.2">
      <c r="A14" s="141" t="s">
        <v>344</v>
      </c>
      <c r="B14" s="142" t="s">
        <v>94</v>
      </c>
      <c r="C14" s="77"/>
      <c r="D14" s="77"/>
      <c r="E14" s="77"/>
      <c r="F14" s="77"/>
      <c r="G14" s="77"/>
      <c r="H14" s="77"/>
      <c r="I14" s="77"/>
      <c r="J14" s="77"/>
      <c r="K14" s="108"/>
      <c r="L14" s="108"/>
      <c r="M14" s="108"/>
      <c r="N14" s="108"/>
      <c r="O14" s="79"/>
      <c r="P14" s="79"/>
      <c r="Q14" s="79"/>
      <c r="R14" s="79"/>
      <c r="S14" s="81">
        <v>1</v>
      </c>
      <c r="T14" s="81">
        <v>1</v>
      </c>
      <c r="U14" s="81">
        <v>1</v>
      </c>
      <c r="V14" s="81">
        <v>1</v>
      </c>
      <c r="W14" s="81">
        <v>1</v>
      </c>
      <c r="X14" s="81">
        <v>1</v>
      </c>
      <c r="Y14" s="81">
        <v>1</v>
      </c>
      <c r="Z14" s="77"/>
      <c r="AA14" s="77"/>
      <c r="AB14" s="77"/>
      <c r="AC14" s="77"/>
      <c r="AD14" s="77">
        <f t="shared" si="2"/>
        <v>0</v>
      </c>
      <c r="AE14" s="77">
        <f t="shared" si="3"/>
        <v>7</v>
      </c>
      <c r="AF14" s="77">
        <f t="shared" si="4"/>
        <v>7</v>
      </c>
      <c r="AH14" s="110"/>
    </row>
    <row r="15" spans="1:34" ht="25.5" x14ac:dyDescent="0.2">
      <c r="A15" s="86" t="s">
        <v>154</v>
      </c>
      <c r="B15" s="59" t="s">
        <v>404</v>
      </c>
      <c r="C15" s="76">
        <f>SUM(C16:C18)</f>
        <v>0</v>
      </c>
      <c r="D15" s="76"/>
      <c r="E15" s="76"/>
      <c r="F15" s="76"/>
      <c r="G15" s="76"/>
      <c r="H15" s="76"/>
      <c r="I15" s="76">
        <f>SUM(I16:I18)</f>
        <v>0</v>
      </c>
      <c r="J15" s="76"/>
      <c r="K15" s="76">
        <f t="shared" ref="K15:AA15" si="5">SUM(K16:K18)</f>
        <v>1</v>
      </c>
      <c r="L15" s="76">
        <f t="shared" si="5"/>
        <v>1</v>
      </c>
      <c r="M15" s="76">
        <f t="shared" si="5"/>
        <v>1</v>
      </c>
      <c r="N15" s="76">
        <f t="shared" si="5"/>
        <v>1</v>
      </c>
      <c r="O15" s="76">
        <f t="shared" si="5"/>
        <v>1</v>
      </c>
      <c r="P15" s="76">
        <f t="shared" si="5"/>
        <v>1</v>
      </c>
      <c r="Q15" s="76">
        <f t="shared" si="5"/>
        <v>0</v>
      </c>
      <c r="R15" s="76">
        <f t="shared" si="5"/>
        <v>0</v>
      </c>
      <c r="S15" s="76">
        <f t="shared" si="5"/>
        <v>0</v>
      </c>
      <c r="T15" s="76">
        <f t="shared" si="5"/>
        <v>0</v>
      </c>
      <c r="U15" s="76">
        <f t="shared" si="5"/>
        <v>0</v>
      </c>
      <c r="V15" s="76">
        <f t="shared" si="5"/>
        <v>1</v>
      </c>
      <c r="W15" s="76">
        <f t="shared" si="5"/>
        <v>1</v>
      </c>
      <c r="X15" s="76">
        <f t="shared" si="5"/>
        <v>1</v>
      </c>
      <c r="Y15" s="76">
        <f t="shared" si="5"/>
        <v>1</v>
      </c>
      <c r="Z15" s="76">
        <f t="shared" si="5"/>
        <v>1</v>
      </c>
      <c r="AA15" s="76">
        <f t="shared" si="5"/>
        <v>1</v>
      </c>
      <c r="AB15" s="76"/>
      <c r="AC15" s="76"/>
      <c r="AD15" s="76">
        <f>SUM(AD16:AD18)</f>
        <v>6</v>
      </c>
      <c r="AE15" s="76">
        <f>SUM(AE16:AE18)</f>
        <v>6</v>
      </c>
      <c r="AF15" s="76">
        <f>SUM(AF16:AF18)</f>
        <v>12</v>
      </c>
    </row>
    <row r="16" spans="1:34" x14ac:dyDescent="0.2">
      <c r="A16" s="87" t="s">
        <v>73</v>
      </c>
      <c r="B16" s="142" t="s">
        <v>94</v>
      </c>
      <c r="C16" s="93"/>
      <c r="D16" s="93"/>
      <c r="E16" s="93"/>
      <c r="F16" s="93"/>
      <c r="G16" s="93"/>
      <c r="H16" s="93"/>
      <c r="I16" s="93"/>
      <c r="J16" s="77"/>
      <c r="K16" s="81">
        <v>1</v>
      </c>
      <c r="L16" s="81">
        <v>1</v>
      </c>
      <c r="M16" s="81">
        <v>1</v>
      </c>
      <c r="N16" s="81">
        <v>1</v>
      </c>
      <c r="O16" s="81">
        <v>1</v>
      </c>
      <c r="P16" s="81">
        <v>1</v>
      </c>
      <c r="Q16" s="75">
        <f>40%*C16</f>
        <v>0</v>
      </c>
      <c r="R16" s="75"/>
      <c r="S16" s="75"/>
      <c r="T16" s="75"/>
      <c r="U16" s="75"/>
      <c r="V16" s="75"/>
      <c r="W16" s="75"/>
      <c r="X16" s="75"/>
      <c r="Y16" s="75"/>
      <c r="Z16" s="75"/>
      <c r="AA16" s="75"/>
      <c r="AB16" s="75"/>
      <c r="AC16" s="75"/>
      <c r="AD16" s="77">
        <f t="shared" ref="AD16:AD18" si="6">SUM(K16:R16)</f>
        <v>6</v>
      </c>
      <c r="AE16" s="77">
        <f t="shared" ref="AE16:AE18" si="7">SUM(S16:AA16)</f>
        <v>0</v>
      </c>
      <c r="AF16" s="77">
        <f t="shared" ref="AF16:AF18" si="8">+AE16+AD16</f>
        <v>6</v>
      </c>
    </row>
    <row r="17" spans="1:32" x14ac:dyDescent="0.2">
      <c r="A17" s="87" t="s">
        <v>74</v>
      </c>
      <c r="B17" s="142" t="s">
        <v>94</v>
      </c>
      <c r="C17" s="93"/>
      <c r="D17" s="93"/>
      <c r="E17" s="93"/>
      <c r="F17" s="93"/>
      <c r="G17" s="93"/>
      <c r="H17" s="93"/>
      <c r="I17" s="93"/>
      <c r="J17" s="77"/>
      <c r="K17" s="75"/>
      <c r="L17" s="75"/>
      <c r="M17" s="108"/>
      <c r="N17" s="108"/>
      <c r="O17" s="108"/>
      <c r="P17" s="79"/>
      <c r="Q17" s="79"/>
      <c r="R17" s="79"/>
      <c r="S17" s="79"/>
      <c r="T17" s="79"/>
      <c r="U17" s="79"/>
      <c r="V17" s="81">
        <v>1</v>
      </c>
      <c r="W17" s="81">
        <v>1</v>
      </c>
      <c r="X17" s="81">
        <v>1</v>
      </c>
      <c r="Y17" s="81">
        <v>1</v>
      </c>
      <c r="Z17" s="81">
        <v>1</v>
      </c>
      <c r="AA17" s="81">
        <v>1</v>
      </c>
      <c r="AB17" s="81"/>
      <c r="AC17" s="81"/>
      <c r="AD17" s="77">
        <f t="shared" si="6"/>
        <v>0</v>
      </c>
      <c r="AE17" s="77">
        <f t="shared" si="7"/>
        <v>6</v>
      </c>
      <c r="AF17" s="77">
        <f t="shared" si="8"/>
        <v>6</v>
      </c>
    </row>
    <row r="18" spans="1:32" x14ac:dyDescent="0.2">
      <c r="A18" s="87" t="s">
        <v>142</v>
      </c>
      <c r="B18" s="142" t="s">
        <v>94</v>
      </c>
      <c r="C18" s="93"/>
      <c r="D18" s="93"/>
      <c r="E18" s="93"/>
      <c r="F18" s="93"/>
      <c r="G18" s="93"/>
      <c r="H18" s="93"/>
      <c r="I18" s="93"/>
      <c r="J18" s="77"/>
      <c r="K18" s="75"/>
      <c r="L18" s="75"/>
      <c r="M18" s="75"/>
      <c r="N18" s="75"/>
      <c r="O18" s="75"/>
      <c r="P18" s="75"/>
      <c r="Q18" s="75"/>
      <c r="R18" s="75"/>
      <c r="S18" s="75"/>
      <c r="T18" s="75"/>
      <c r="U18" s="75"/>
      <c r="V18" s="75"/>
      <c r="W18" s="75"/>
      <c r="X18" s="108"/>
      <c r="Y18" s="108"/>
      <c r="Z18" s="108"/>
      <c r="AA18" s="79"/>
      <c r="AB18" s="79"/>
      <c r="AC18" s="79"/>
      <c r="AD18" s="77">
        <f t="shared" si="6"/>
        <v>0</v>
      </c>
      <c r="AE18" s="77">
        <f t="shared" si="7"/>
        <v>0</v>
      </c>
      <c r="AF18" s="77">
        <f t="shared" si="8"/>
        <v>0</v>
      </c>
    </row>
    <row r="19" spans="1:32" x14ac:dyDescent="0.2">
      <c r="A19" s="86" t="s">
        <v>155</v>
      </c>
      <c r="B19" s="59" t="s">
        <v>405</v>
      </c>
      <c r="C19" s="76">
        <f>SUM(C20:C24)</f>
        <v>0</v>
      </c>
      <c r="D19" s="76"/>
      <c r="E19" s="76"/>
      <c r="F19" s="76"/>
      <c r="G19" s="76"/>
      <c r="H19" s="76"/>
      <c r="I19" s="76">
        <f>SUM(I20:I24)</f>
        <v>0</v>
      </c>
      <c r="J19" s="76"/>
      <c r="K19" s="76">
        <f t="shared" ref="K19:AA19" si="9">SUM(K20:K24)</f>
        <v>1</v>
      </c>
      <c r="L19" s="76">
        <f t="shared" si="9"/>
        <v>1</v>
      </c>
      <c r="M19" s="76">
        <f t="shared" si="9"/>
        <v>1</v>
      </c>
      <c r="N19" s="76">
        <f t="shared" si="9"/>
        <v>1</v>
      </c>
      <c r="O19" s="76">
        <f t="shared" si="9"/>
        <v>1</v>
      </c>
      <c r="P19" s="76">
        <f t="shared" si="9"/>
        <v>1</v>
      </c>
      <c r="Q19" s="76">
        <f t="shared" si="9"/>
        <v>0</v>
      </c>
      <c r="R19" s="76">
        <f t="shared" si="9"/>
        <v>0</v>
      </c>
      <c r="S19" s="76">
        <f t="shared" si="9"/>
        <v>0</v>
      </c>
      <c r="T19" s="76">
        <f t="shared" si="9"/>
        <v>1</v>
      </c>
      <c r="U19" s="76">
        <f t="shared" si="9"/>
        <v>1</v>
      </c>
      <c r="V19" s="76">
        <f t="shared" si="9"/>
        <v>2</v>
      </c>
      <c r="W19" s="76">
        <f t="shared" si="9"/>
        <v>2</v>
      </c>
      <c r="X19" s="76">
        <f t="shared" si="9"/>
        <v>2</v>
      </c>
      <c r="Y19" s="76">
        <f t="shared" si="9"/>
        <v>2</v>
      </c>
      <c r="Z19" s="76">
        <f t="shared" si="9"/>
        <v>2</v>
      </c>
      <c r="AA19" s="76">
        <f t="shared" si="9"/>
        <v>1</v>
      </c>
      <c r="AB19" s="76"/>
      <c r="AC19" s="76"/>
      <c r="AD19" s="76">
        <f>SUM(AD20:AD24)</f>
        <v>6</v>
      </c>
      <c r="AE19" s="76">
        <f>SUM(AE20:AE24)</f>
        <v>13</v>
      </c>
      <c r="AF19" s="76">
        <f>SUM(AF20:AF24)</f>
        <v>19</v>
      </c>
    </row>
    <row r="20" spans="1:32" x14ac:dyDescent="0.2">
      <c r="A20" s="87" t="s">
        <v>121</v>
      </c>
      <c r="B20" s="142" t="s">
        <v>94</v>
      </c>
      <c r="C20" s="93"/>
      <c r="D20" s="93"/>
      <c r="E20" s="93"/>
      <c r="F20" s="93"/>
      <c r="G20" s="93"/>
      <c r="H20" s="93"/>
      <c r="I20" s="93"/>
      <c r="J20" s="77"/>
      <c r="K20" s="81">
        <v>1</v>
      </c>
      <c r="L20" s="81">
        <v>1</v>
      </c>
      <c r="M20" s="81">
        <v>1</v>
      </c>
      <c r="N20" s="81">
        <v>1</v>
      </c>
      <c r="O20" s="81">
        <v>1</v>
      </c>
      <c r="P20" s="81">
        <v>1</v>
      </c>
      <c r="Q20" s="75">
        <f>40%*C20</f>
        <v>0</v>
      </c>
      <c r="R20" s="75"/>
      <c r="S20" s="75"/>
      <c r="T20" s="75"/>
      <c r="U20" s="75"/>
      <c r="V20" s="75"/>
      <c r="W20" s="75"/>
      <c r="X20" s="75"/>
      <c r="Y20" s="75"/>
      <c r="Z20" s="75"/>
      <c r="AA20" s="75"/>
      <c r="AB20" s="75"/>
      <c r="AC20" s="75"/>
      <c r="AD20" s="77">
        <f t="shared" ref="AD20:AD24" si="10">SUM(K20:R20)</f>
        <v>6</v>
      </c>
      <c r="AE20" s="77">
        <f t="shared" ref="AE20:AE24" si="11">SUM(S20:AA20)</f>
        <v>0</v>
      </c>
      <c r="AF20" s="77">
        <f t="shared" ref="AF20:AF24" si="12">+AE20+AD20</f>
        <v>6</v>
      </c>
    </row>
    <row r="21" spans="1:32" x14ac:dyDescent="0.2">
      <c r="A21" s="87" t="s">
        <v>122</v>
      </c>
      <c r="B21" s="142" t="s">
        <v>94</v>
      </c>
      <c r="C21" s="93"/>
      <c r="D21" s="93"/>
      <c r="E21" s="93"/>
      <c r="F21" s="93"/>
      <c r="G21" s="93"/>
      <c r="H21" s="93"/>
      <c r="I21" s="93"/>
      <c r="J21" s="77"/>
      <c r="K21" s="75"/>
      <c r="L21" s="75"/>
      <c r="M21" s="108"/>
      <c r="N21" s="108"/>
      <c r="O21" s="108"/>
      <c r="P21" s="79"/>
      <c r="Q21" s="79"/>
      <c r="R21" s="79"/>
      <c r="S21" s="79"/>
      <c r="T21" s="79"/>
      <c r="U21" s="79"/>
      <c r="V21" s="81">
        <v>1</v>
      </c>
      <c r="W21" s="81">
        <v>1</v>
      </c>
      <c r="X21" s="81">
        <v>1</v>
      </c>
      <c r="Y21" s="81">
        <v>1</v>
      </c>
      <c r="Z21" s="81">
        <v>1</v>
      </c>
      <c r="AA21" s="75"/>
      <c r="AB21" s="75"/>
      <c r="AC21" s="75"/>
      <c r="AD21" s="77">
        <f t="shared" si="10"/>
        <v>0</v>
      </c>
      <c r="AE21" s="77">
        <f t="shared" si="11"/>
        <v>5</v>
      </c>
      <c r="AF21" s="77">
        <f t="shared" si="12"/>
        <v>5</v>
      </c>
    </row>
    <row r="22" spans="1:32" x14ac:dyDescent="0.2">
      <c r="A22" s="87" t="s">
        <v>144</v>
      </c>
      <c r="B22" s="142" t="s">
        <v>94</v>
      </c>
      <c r="C22" s="93"/>
      <c r="D22" s="93"/>
      <c r="E22" s="93"/>
      <c r="F22" s="93"/>
      <c r="G22" s="93"/>
      <c r="H22" s="93"/>
      <c r="I22" s="93"/>
      <c r="J22" s="77"/>
      <c r="K22" s="75"/>
      <c r="L22" s="75"/>
      <c r="M22" s="75"/>
      <c r="N22" s="75"/>
      <c r="O22" s="75"/>
      <c r="P22" s="75"/>
      <c r="Q22" s="75"/>
      <c r="R22" s="75"/>
      <c r="S22" s="75"/>
      <c r="T22" s="75"/>
      <c r="U22" s="75"/>
      <c r="V22" s="75"/>
      <c r="W22" s="75"/>
      <c r="X22" s="108"/>
      <c r="Y22" s="108"/>
      <c r="Z22" s="108"/>
      <c r="AA22" s="75"/>
      <c r="AB22" s="75"/>
      <c r="AC22" s="75"/>
      <c r="AD22" s="77">
        <f t="shared" si="10"/>
        <v>0</v>
      </c>
      <c r="AE22" s="77">
        <f t="shared" si="11"/>
        <v>0</v>
      </c>
      <c r="AF22" s="77">
        <f t="shared" si="12"/>
        <v>0</v>
      </c>
    </row>
    <row r="23" spans="1:32" x14ac:dyDescent="0.2">
      <c r="A23" s="87" t="s">
        <v>345</v>
      </c>
      <c r="B23" s="142" t="s">
        <v>94</v>
      </c>
      <c r="C23" s="93"/>
      <c r="D23" s="93"/>
      <c r="E23" s="93"/>
      <c r="F23" s="93"/>
      <c r="G23" s="93"/>
      <c r="H23" s="93"/>
      <c r="I23" s="93"/>
      <c r="J23" s="77"/>
      <c r="K23" s="75"/>
      <c r="L23" s="75"/>
      <c r="M23" s="75"/>
      <c r="N23" s="75"/>
      <c r="O23" s="75"/>
      <c r="P23" s="108"/>
      <c r="Q23" s="108"/>
      <c r="R23" s="108"/>
      <c r="S23" s="79"/>
      <c r="T23" s="79"/>
      <c r="U23" s="79"/>
      <c r="V23" s="79"/>
      <c r="W23" s="79"/>
      <c r="X23" s="81">
        <v>1</v>
      </c>
      <c r="Y23" s="81">
        <v>1</v>
      </c>
      <c r="Z23" s="81">
        <v>1</v>
      </c>
      <c r="AA23" s="81">
        <v>1</v>
      </c>
      <c r="AB23" s="81"/>
      <c r="AC23" s="81"/>
      <c r="AD23" s="77">
        <f t="shared" si="10"/>
        <v>0</v>
      </c>
      <c r="AE23" s="77">
        <f t="shared" si="11"/>
        <v>4</v>
      </c>
      <c r="AF23" s="77">
        <f t="shared" si="12"/>
        <v>4</v>
      </c>
    </row>
    <row r="24" spans="1:32" x14ac:dyDescent="0.2">
      <c r="A24" s="87" t="s">
        <v>346</v>
      </c>
      <c r="B24" s="142" t="s">
        <v>94</v>
      </c>
      <c r="C24" s="93"/>
      <c r="D24" s="93"/>
      <c r="E24" s="93"/>
      <c r="F24" s="93"/>
      <c r="G24" s="93"/>
      <c r="H24" s="93"/>
      <c r="I24" s="93"/>
      <c r="J24" s="77"/>
      <c r="K24" s="75"/>
      <c r="L24" s="75"/>
      <c r="M24" s="108"/>
      <c r="N24" s="108"/>
      <c r="O24" s="108"/>
      <c r="P24" s="79"/>
      <c r="Q24" s="79"/>
      <c r="R24" s="79"/>
      <c r="S24" s="79"/>
      <c r="T24" s="81">
        <v>1</v>
      </c>
      <c r="U24" s="81">
        <v>1</v>
      </c>
      <c r="V24" s="81">
        <v>1</v>
      </c>
      <c r="W24" s="81">
        <v>1</v>
      </c>
      <c r="X24" s="75"/>
      <c r="Y24" s="75"/>
      <c r="Z24" s="75"/>
      <c r="AA24" s="75"/>
      <c r="AB24" s="75"/>
      <c r="AC24" s="75"/>
      <c r="AD24" s="77">
        <f t="shared" si="10"/>
        <v>0</v>
      </c>
      <c r="AE24" s="77">
        <f t="shared" si="11"/>
        <v>4</v>
      </c>
      <c r="AF24" s="77">
        <f t="shared" si="12"/>
        <v>4</v>
      </c>
    </row>
    <row r="25" spans="1:32" x14ac:dyDescent="0.2">
      <c r="A25" s="86" t="s">
        <v>156</v>
      </c>
      <c r="B25" s="59" t="s">
        <v>406</v>
      </c>
      <c r="C25" s="76">
        <f>SUM(C26:C29)</f>
        <v>0</v>
      </c>
      <c r="D25" s="76"/>
      <c r="E25" s="76"/>
      <c r="F25" s="76"/>
      <c r="G25" s="76"/>
      <c r="H25" s="76"/>
      <c r="I25" s="76">
        <f>SUM(I26:I29)</f>
        <v>0</v>
      </c>
      <c r="J25" s="76"/>
      <c r="K25" s="76">
        <f t="shared" ref="K25:AA25" si="13">SUM(K26:K29)</f>
        <v>0</v>
      </c>
      <c r="L25" s="76">
        <f t="shared" si="13"/>
        <v>1</v>
      </c>
      <c r="M25" s="76">
        <f t="shared" si="13"/>
        <v>1</v>
      </c>
      <c r="N25" s="76">
        <f t="shared" si="13"/>
        <v>1</v>
      </c>
      <c r="O25" s="76">
        <f t="shared" si="13"/>
        <v>1</v>
      </c>
      <c r="P25" s="76">
        <f t="shared" si="13"/>
        <v>1</v>
      </c>
      <c r="Q25" s="76">
        <f t="shared" si="13"/>
        <v>1</v>
      </c>
      <c r="R25" s="76">
        <f t="shared" si="13"/>
        <v>1</v>
      </c>
      <c r="S25" s="76">
        <f t="shared" si="13"/>
        <v>1</v>
      </c>
      <c r="T25" s="76">
        <f t="shared" si="13"/>
        <v>2</v>
      </c>
      <c r="U25" s="76">
        <f t="shared" si="13"/>
        <v>2</v>
      </c>
      <c r="V25" s="76">
        <f t="shared" si="13"/>
        <v>2</v>
      </c>
      <c r="W25" s="76">
        <f t="shared" si="13"/>
        <v>2</v>
      </c>
      <c r="X25" s="76">
        <f t="shared" si="13"/>
        <v>2</v>
      </c>
      <c r="Y25" s="76">
        <f t="shared" si="13"/>
        <v>1</v>
      </c>
      <c r="Z25" s="76">
        <f t="shared" si="13"/>
        <v>0</v>
      </c>
      <c r="AA25" s="76">
        <f t="shared" si="13"/>
        <v>0</v>
      </c>
      <c r="AB25" s="76"/>
      <c r="AC25" s="76"/>
      <c r="AD25" s="76">
        <f>SUM(AD26:AD29)</f>
        <v>7</v>
      </c>
      <c r="AE25" s="76">
        <f>SUM(AE26:AE29)</f>
        <v>12</v>
      </c>
      <c r="AF25" s="76">
        <f>SUM(AF26:AF29)</f>
        <v>19</v>
      </c>
    </row>
    <row r="26" spans="1:32" x14ac:dyDescent="0.2">
      <c r="A26" s="87" t="s">
        <v>127</v>
      </c>
      <c r="B26" s="142" t="s">
        <v>94</v>
      </c>
      <c r="C26" s="93"/>
      <c r="D26" s="93"/>
      <c r="E26" s="93"/>
      <c r="F26" s="93"/>
      <c r="G26" s="93"/>
      <c r="H26" s="93"/>
      <c r="I26" s="93">
        <f>+'Prog de Actividades y F (USD)'!D28*'POA y F de caja'!$I$104</f>
        <v>0</v>
      </c>
      <c r="J26" s="77"/>
      <c r="K26" s="75"/>
      <c r="L26" s="75"/>
      <c r="M26" s="108"/>
      <c r="N26" s="108"/>
      <c r="O26" s="108"/>
      <c r="P26" s="79"/>
      <c r="Q26" s="79"/>
      <c r="R26" s="79"/>
      <c r="S26" s="79"/>
      <c r="T26" s="81">
        <v>1</v>
      </c>
      <c r="U26" s="81">
        <v>1</v>
      </c>
      <c r="V26" s="81">
        <v>1</v>
      </c>
      <c r="W26" s="81">
        <v>1</v>
      </c>
      <c r="X26" s="81">
        <v>1</v>
      </c>
      <c r="Y26" s="81">
        <v>1</v>
      </c>
      <c r="Z26" s="75">
        <f>40%*C26</f>
        <v>0</v>
      </c>
      <c r="AA26" s="75"/>
      <c r="AB26" s="75"/>
      <c r="AC26" s="75"/>
      <c r="AD26" s="77">
        <f t="shared" ref="AD26:AD29" si="14">SUM(K26:R26)</f>
        <v>0</v>
      </c>
      <c r="AE26" s="77">
        <f t="shared" ref="AE26:AE29" si="15">SUM(S26:AA26)</f>
        <v>6</v>
      </c>
      <c r="AF26" s="77">
        <f t="shared" ref="AF26:AF29" si="16">+AE26+AD26</f>
        <v>6</v>
      </c>
    </row>
    <row r="27" spans="1:32" s="147" customFormat="1" x14ac:dyDescent="0.2">
      <c r="A27" s="141" t="s">
        <v>128</v>
      </c>
      <c r="B27" s="142" t="s">
        <v>94</v>
      </c>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row>
    <row r="28" spans="1:32" s="147" customFormat="1" x14ac:dyDescent="0.2">
      <c r="A28" s="141" t="s">
        <v>145</v>
      </c>
      <c r="B28" s="142" t="s">
        <v>94</v>
      </c>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row>
    <row r="29" spans="1:32" x14ac:dyDescent="0.2">
      <c r="A29" s="87" t="s">
        <v>347</v>
      </c>
      <c r="B29" s="142" t="s">
        <v>94</v>
      </c>
      <c r="C29" s="93"/>
      <c r="D29" s="93"/>
      <c r="E29" s="93"/>
      <c r="F29" s="93"/>
      <c r="G29" s="93"/>
      <c r="H29" s="93"/>
      <c r="I29" s="93">
        <f>+'Prog de Actividades y F (USD)'!D29*'POA y F de caja'!$I$104</f>
        <v>0</v>
      </c>
      <c r="J29" s="77"/>
      <c r="K29" s="79"/>
      <c r="L29" s="81">
        <v>1</v>
      </c>
      <c r="M29" s="81">
        <v>1</v>
      </c>
      <c r="N29" s="81">
        <v>1</v>
      </c>
      <c r="O29" s="81">
        <v>1</v>
      </c>
      <c r="P29" s="81">
        <v>1</v>
      </c>
      <c r="Q29" s="81">
        <v>1</v>
      </c>
      <c r="R29" s="81">
        <v>1</v>
      </c>
      <c r="S29" s="81">
        <v>1</v>
      </c>
      <c r="T29" s="81">
        <v>1</v>
      </c>
      <c r="U29" s="81">
        <v>1</v>
      </c>
      <c r="V29" s="81">
        <v>1</v>
      </c>
      <c r="W29" s="81">
        <v>1</v>
      </c>
      <c r="X29" s="81">
        <v>1</v>
      </c>
      <c r="Y29" s="75">
        <f>40%*C29</f>
        <v>0</v>
      </c>
      <c r="Z29" s="75"/>
      <c r="AA29" s="75"/>
      <c r="AB29" s="75"/>
      <c r="AC29" s="75"/>
      <c r="AD29" s="77">
        <f t="shared" si="14"/>
        <v>7</v>
      </c>
      <c r="AE29" s="77">
        <f t="shared" si="15"/>
        <v>6</v>
      </c>
      <c r="AF29" s="77">
        <f t="shared" si="16"/>
        <v>13</v>
      </c>
    </row>
    <row r="30" spans="1:32" ht="38.25" x14ac:dyDescent="0.2">
      <c r="A30" s="90">
        <v>2</v>
      </c>
      <c r="B30" s="57" t="s">
        <v>407</v>
      </c>
      <c r="C30" s="82">
        <f>+C31+C58</f>
        <v>0</v>
      </c>
      <c r="D30" s="82"/>
      <c r="E30" s="82"/>
      <c r="F30" s="82"/>
      <c r="G30" s="82"/>
      <c r="H30" s="82"/>
      <c r="I30" s="82">
        <f>+I31+I58</f>
        <v>0</v>
      </c>
      <c r="J30" s="82"/>
      <c r="K30" s="82">
        <f t="shared" ref="K30:AF30" si="17">+K31+K58</f>
        <v>1</v>
      </c>
      <c r="L30" s="82">
        <f t="shared" si="17"/>
        <v>1</v>
      </c>
      <c r="M30" s="82">
        <f t="shared" si="17"/>
        <v>2</v>
      </c>
      <c r="N30" s="82">
        <f t="shared" si="17"/>
        <v>2</v>
      </c>
      <c r="O30" s="82">
        <f t="shared" si="17"/>
        <v>3</v>
      </c>
      <c r="P30" s="82">
        <f t="shared" si="17"/>
        <v>3</v>
      </c>
      <c r="Q30" s="82">
        <f t="shared" si="17"/>
        <v>3</v>
      </c>
      <c r="R30" s="82">
        <f t="shared" si="17"/>
        <v>4</v>
      </c>
      <c r="S30" s="82">
        <f t="shared" si="17"/>
        <v>7</v>
      </c>
      <c r="T30" s="82">
        <f t="shared" si="17"/>
        <v>576</v>
      </c>
      <c r="U30" s="82">
        <f t="shared" si="17"/>
        <v>578</v>
      </c>
      <c r="V30" s="82">
        <f t="shared" si="17"/>
        <v>575</v>
      </c>
      <c r="W30" s="82">
        <f t="shared" si="17"/>
        <v>574</v>
      </c>
      <c r="X30" s="82">
        <f t="shared" si="17"/>
        <v>574</v>
      </c>
      <c r="Y30" s="82">
        <f t="shared" si="17"/>
        <v>574</v>
      </c>
      <c r="Z30" s="82">
        <f t="shared" si="17"/>
        <v>574</v>
      </c>
      <c r="AA30" s="82">
        <f t="shared" si="17"/>
        <v>574</v>
      </c>
      <c r="AB30" s="82"/>
      <c r="AC30" s="82"/>
      <c r="AD30" s="82">
        <f t="shared" si="17"/>
        <v>19</v>
      </c>
      <c r="AE30" s="82">
        <f t="shared" si="17"/>
        <v>2718</v>
      </c>
      <c r="AF30" s="82">
        <f t="shared" si="17"/>
        <v>2737</v>
      </c>
    </row>
    <row r="31" spans="1:32" ht="25.5" x14ac:dyDescent="0.2">
      <c r="A31" s="85" t="s">
        <v>157</v>
      </c>
      <c r="B31" s="58" t="s">
        <v>408</v>
      </c>
      <c r="C31" s="74">
        <f>+C32+C37+C43+C48+C53</f>
        <v>0</v>
      </c>
      <c r="D31" s="74"/>
      <c r="E31" s="74"/>
      <c r="F31" s="74"/>
      <c r="G31" s="74"/>
      <c r="H31" s="74"/>
      <c r="I31" s="74">
        <f>+I32+I37+I43+I48+I53</f>
        <v>0</v>
      </c>
      <c r="J31" s="74"/>
      <c r="K31" s="74">
        <f t="shared" ref="K31:AF31" si="18">+K32+K37+K43+K48+K53</f>
        <v>1</v>
      </c>
      <c r="L31" s="74">
        <f t="shared" si="18"/>
        <v>1</v>
      </c>
      <c r="M31" s="74">
        <f t="shared" si="18"/>
        <v>2</v>
      </c>
      <c r="N31" s="74">
        <f t="shared" si="18"/>
        <v>2</v>
      </c>
      <c r="O31" s="74">
        <f t="shared" si="18"/>
        <v>3</v>
      </c>
      <c r="P31" s="74">
        <f t="shared" si="18"/>
        <v>3</v>
      </c>
      <c r="Q31" s="74">
        <f t="shared" si="18"/>
        <v>3</v>
      </c>
      <c r="R31" s="74">
        <f t="shared" si="18"/>
        <v>4</v>
      </c>
      <c r="S31" s="74">
        <f t="shared" si="18"/>
        <v>4</v>
      </c>
      <c r="T31" s="74">
        <f t="shared" si="18"/>
        <v>5</v>
      </c>
      <c r="U31" s="74">
        <f t="shared" si="18"/>
        <v>4</v>
      </c>
      <c r="V31" s="74">
        <f t="shared" si="18"/>
        <v>4</v>
      </c>
      <c r="W31" s="74">
        <f t="shared" si="18"/>
        <v>3</v>
      </c>
      <c r="X31" s="74">
        <f t="shared" si="18"/>
        <v>3</v>
      </c>
      <c r="Y31" s="74">
        <f t="shared" si="18"/>
        <v>3</v>
      </c>
      <c r="Z31" s="74">
        <f t="shared" si="18"/>
        <v>3</v>
      </c>
      <c r="AA31" s="74">
        <f t="shared" si="18"/>
        <v>3</v>
      </c>
      <c r="AB31" s="74"/>
      <c r="AC31" s="74"/>
      <c r="AD31" s="74">
        <f t="shared" si="18"/>
        <v>19</v>
      </c>
      <c r="AE31" s="74">
        <f t="shared" si="18"/>
        <v>32</v>
      </c>
      <c r="AF31" s="74">
        <f t="shared" si="18"/>
        <v>51</v>
      </c>
    </row>
    <row r="32" spans="1:32" x14ac:dyDescent="0.2">
      <c r="A32" s="86" t="s">
        <v>75</v>
      </c>
      <c r="B32" s="59" t="s">
        <v>403</v>
      </c>
      <c r="C32" s="76">
        <f>SUM(C33:C36)</f>
        <v>0</v>
      </c>
      <c r="D32" s="76"/>
      <c r="E32" s="76"/>
      <c r="F32" s="76"/>
      <c r="G32" s="76"/>
      <c r="H32" s="76"/>
      <c r="I32" s="76">
        <f>SUM(I33:I36)</f>
        <v>0</v>
      </c>
      <c r="J32" s="76"/>
      <c r="K32" s="76">
        <f t="shared" ref="K32:AF32" si="19">SUM(K35:K36)</f>
        <v>0</v>
      </c>
      <c r="L32" s="76">
        <f t="shared" si="19"/>
        <v>0</v>
      </c>
      <c r="M32" s="76">
        <f t="shared" si="19"/>
        <v>0</v>
      </c>
      <c r="N32" s="76">
        <f t="shared" si="19"/>
        <v>0</v>
      </c>
      <c r="O32" s="76">
        <f t="shared" si="19"/>
        <v>0</v>
      </c>
      <c r="P32" s="76">
        <f t="shared" si="19"/>
        <v>0</v>
      </c>
      <c r="Q32" s="76">
        <f t="shared" si="19"/>
        <v>0</v>
      </c>
      <c r="R32" s="76">
        <f t="shared" si="19"/>
        <v>1</v>
      </c>
      <c r="S32" s="76">
        <f t="shared" si="19"/>
        <v>1</v>
      </c>
      <c r="T32" s="76">
        <f t="shared" si="19"/>
        <v>2</v>
      </c>
      <c r="U32" s="76">
        <f t="shared" si="19"/>
        <v>2</v>
      </c>
      <c r="V32" s="76">
        <f t="shared" si="19"/>
        <v>2</v>
      </c>
      <c r="W32" s="76">
        <f t="shared" si="19"/>
        <v>1</v>
      </c>
      <c r="X32" s="76">
        <f t="shared" si="19"/>
        <v>1</v>
      </c>
      <c r="Y32" s="76">
        <f t="shared" si="19"/>
        <v>1</v>
      </c>
      <c r="Z32" s="76">
        <f t="shared" si="19"/>
        <v>1</v>
      </c>
      <c r="AA32" s="76">
        <f t="shared" si="19"/>
        <v>1</v>
      </c>
      <c r="AB32" s="76"/>
      <c r="AC32" s="76"/>
      <c r="AD32" s="76">
        <f t="shared" si="19"/>
        <v>1</v>
      </c>
      <c r="AE32" s="76">
        <f t="shared" si="19"/>
        <v>12</v>
      </c>
      <c r="AF32" s="76">
        <f t="shared" si="19"/>
        <v>13</v>
      </c>
    </row>
    <row r="33" spans="1:32" s="147" customFormat="1" x14ac:dyDescent="0.2">
      <c r="A33" s="141" t="s">
        <v>348</v>
      </c>
      <c r="B33" s="142" t="s">
        <v>94</v>
      </c>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row>
    <row r="34" spans="1:32" s="147" customFormat="1" x14ac:dyDescent="0.2">
      <c r="A34" s="141" t="s">
        <v>350</v>
      </c>
      <c r="B34" s="142" t="s">
        <v>94</v>
      </c>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row>
    <row r="35" spans="1:32" s="60" customFormat="1" x14ac:dyDescent="0.2">
      <c r="A35" s="88" t="s">
        <v>349</v>
      </c>
      <c r="B35" s="142" t="s">
        <v>94</v>
      </c>
      <c r="C35" s="93"/>
      <c r="D35" s="93"/>
      <c r="E35" s="93"/>
      <c r="F35" s="93"/>
      <c r="G35" s="93"/>
      <c r="H35" s="93"/>
      <c r="I35" s="93">
        <f>+'Prog de Actividades y F (USD)'!D85*'POA y F de caja'!$I$104</f>
        <v>0</v>
      </c>
      <c r="J35" s="75"/>
      <c r="K35" s="75"/>
      <c r="L35" s="108"/>
      <c r="M35" s="108"/>
      <c r="N35" s="108"/>
      <c r="O35" s="79"/>
      <c r="P35" s="79"/>
      <c r="Q35" s="79"/>
      <c r="R35" s="81">
        <v>1</v>
      </c>
      <c r="S35" s="81">
        <v>1</v>
      </c>
      <c r="T35" s="81">
        <v>1</v>
      </c>
      <c r="U35" s="81">
        <v>1</v>
      </c>
      <c r="V35" s="81">
        <v>1</v>
      </c>
      <c r="W35" s="75">
        <f>+C35</f>
        <v>0</v>
      </c>
      <c r="X35" s="75"/>
      <c r="Y35" s="75"/>
      <c r="Z35" s="75"/>
      <c r="AA35" s="75"/>
      <c r="AB35" s="75"/>
      <c r="AC35" s="75"/>
      <c r="AD35" s="77">
        <f t="shared" ref="AD35:AD36" si="20">SUM(K35:R35)</f>
        <v>1</v>
      </c>
      <c r="AE35" s="77">
        <f t="shared" ref="AE35:AE36" si="21">SUM(S35:AA35)</f>
        <v>4</v>
      </c>
      <c r="AF35" s="77">
        <f t="shared" ref="AF35:AF36" si="22">+AE35+AD35</f>
        <v>5</v>
      </c>
    </row>
    <row r="36" spans="1:32" s="60" customFormat="1" x14ac:dyDescent="0.2">
      <c r="A36" s="88" t="s">
        <v>351</v>
      </c>
      <c r="B36" s="142" t="s">
        <v>94</v>
      </c>
      <c r="C36" s="93"/>
      <c r="D36" s="93"/>
      <c r="E36" s="93"/>
      <c r="F36" s="93"/>
      <c r="G36" s="93"/>
      <c r="H36" s="93"/>
      <c r="I36" s="93">
        <f>+'Prog de Actividades y F (USD)'!D86*'POA y F de caja'!$I$104</f>
        <v>0</v>
      </c>
      <c r="J36" s="75"/>
      <c r="K36" s="75"/>
      <c r="L36" s="75"/>
      <c r="M36" s="75"/>
      <c r="N36" s="108"/>
      <c r="O36" s="108"/>
      <c r="P36" s="108"/>
      <c r="Q36" s="79"/>
      <c r="R36" s="79"/>
      <c r="S36" s="79"/>
      <c r="T36" s="81">
        <v>1</v>
      </c>
      <c r="U36" s="81">
        <v>1</v>
      </c>
      <c r="V36" s="81">
        <v>1</v>
      </c>
      <c r="W36" s="81">
        <v>1</v>
      </c>
      <c r="X36" s="81">
        <v>1</v>
      </c>
      <c r="Y36" s="81">
        <v>1</v>
      </c>
      <c r="Z36" s="81">
        <v>1</v>
      </c>
      <c r="AA36" s="81">
        <v>1</v>
      </c>
      <c r="AB36" s="81"/>
      <c r="AC36" s="81"/>
      <c r="AD36" s="77">
        <f t="shared" si="20"/>
        <v>0</v>
      </c>
      <c r="AE36" s="77">
        <f t="shared" si="21"/>
        <v>8</v>
      </c>
      <c r="AF36" s="77">
        <f t="shared" si="22"/>
        <v>8</v>
      </c>
    </row>
    <row r="37" spans="1:32" ht="25.5" x14ac:dyDescent="0.2">
      <c r="A37" s="86" t="s">
        <v>309</v>
      </c>
      <c r="B37" s="59" t="s">
        <v>404</v>
      </c>
      <c r="C37" s="76">
        <f>SUM(C38:C42)</f>
        <v>0</v>
      </c>
      <c r="D37" s="76"/>
      <c r="E37" s="76"/>
      <c r="F37" s="76"/>
      <c r="G37" s="76"/>
      <c r="H37" s="76"/>
      <c r="I37" s="76">
        <f>SUM(I38:I42)</f>
        <v>0</v>
      </c>
      <c r="J37" s="76"/>
      <c r="K37" s="76">
        <f t="shared" ref="K37:AF37" si="23">+K42</f>
        <v>0</v>
      </c>
      <c r="L37" s="76">
        <f t="shared" si="23"/>
        <v>0</v>
      </c>
      <c r="M37" s="76">
        <f t="shared" si="23"/>
        <v>1</v>
      </c>
      <c r="N37" s="76">
        <f t="shared" si="23"/>
        <v>1</v>
      </c>
      <c r="O37" s="76">
        <f t="shared" si="23"/>
        <v>1</v>
      </c>
      <c r="P37" s="76">
        <f t="shared" si="23"/>
        <v>1</v>
      </c>
      <c r="Q37" s="76">
        <f t="shared" si="23"/>
        <v>1</v>
      </c>
      <c r="R37" s="76">
        <f t="shared" si="23"/>
        <v>1</v>
      </c>
      <c r="S37" s="76">
        <f t="shared" si="23"/>
        <v>0</v>
      </c>
      <c r="T37" s="76">
        <f t="shared" si="23"/>
        <v>0</v>
      </c>
      <c r="U37" s="76">
        <f t="shared" si="23"/>
        <v>0</v>
      </c>
      <c r="V37" s="76">
        <f t="shared" si="23"/>
        <v>0</v>
      </c>
      <c r="W37" s="76">
        <f t="shared" si="23"/>
        <v>0</v>
      </c>
      <c r="X37" s="76">
        <f t="shared" si="23"/>
        <v>0</v>
      </c>
      <c r="Y37" s="76">
        <f t="shared" si="23"/>
        <v>0</v>
      </c>
      <c r="Z37" s="76">
        <f t="shared" si="23"/>
        <v>0</v>
      </c>
      <c r="AA37" s="76">
        <f t="shared" si="23"/>
        <v>0</v>
      </c>
      <c r="AB37" s="76"/>
      <c r="AC37" s="76"/>
      <c r="AD37" s="76">
        <f t="shared" si="23"/>
        <v>6</v>
      </c>
      <c r="AE37" s="76">
        <f t="shared" si="23"/>
        <v>0</v>
      </c>
      <c r="AF37" s="76">
        <f t="shared" si="23"/>
        <v>6</v>
      </c>
    </row>
    <row r="38" spans="1:32" s="147" customFormat="1" hidden="1" x14ac:dyDescent="0.2">
      <c r="A38" s="141" t="s">
        <v>352</v>
      </c>
      <c r="B38" s="142" t="s">
        <v>94</v>
      </c>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row>
    <row r="39" spans="1:32" s="147" customFormat="1" hidden="1" x14ac:dyDescent="0.2">
      <c r="A39" s="141" t="s">
        <v>353</v>
      </c>
      <c r="B39" s="142" t="s">
        <v>94</v>
      </c>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row>
    <row r="40" spans="1:32" s="147" customFormat="1" hidden="1" x14ac:dyDescent="0.2">
      <c r="A40" s="141" t="s">
        <v>354</v>
      </c>
      <c r="B40" s="142" t="s">
        <v>94</v>
      </c>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row>
    <row r="41" spans="1:32" s="147" customFormat="1" hidden="1" x14ac:dyDescent="0.2">
      <c r="A41" s="141" t="s">
        <v>355</v>
      </c>
      <c r="B41" s="142" t="s">
        <v>94</v>
      </c>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row>
    <row r="42" spans="1:32" s="60" customFormat="1" hidden="1" x14ac:dyDescent="0.2">
      <c r="A42" s="88" t="s">
        <v>356</v>
      </c>
      <c r="B42" s="142" t="s">
        <v>94</v>
      </c>
      <c r="C42" s="93"/>
      <c r="D42" s="93"/>
      <c r="E42" s="93"/>
      <c r="F42" s="93"/>
      <c r="G42" s="93"/>
      <c r="H42" s="93"/>
      <c r="I42" s="93">
        <f>+'Prog de Actividades y F (USD)'!D98*'POA y F de caja'!$I$104</f>
        <v>0</v>
      </c>
      <c r="J42" s="75"/>
      <c r="K42" s="79"/>
      <c r="L42" s="79"/>
      <c r="M42" s="81">
        <v>1</v>
      </c>
      <c r="N42" s="81">
        <v>1</v>
      </c>
      <c r="O42" s="81">
        <v>1</v>
      </c>
      <c r="P42" s="81">
        <v>1</v>
      </c>
      <c r="Q42" s="81">
        <v>1</v>
      </c>
      <c r="R42" s="81">
        <v>1</v>
      </c>
      <c r="S42" s="75"/>
      <c r="T42" s="75">
        <f>40%*C42</f>
        <v>0</v>
      </c>
      <c r="U42" s="75"/>
      <c r="V42" s="75"/>
      <c r="W42" s="75"/>
      <c r="X42" s="75"/>
      <c r="Y42" s="75"/>
      <c r="Z42" s="75"/>
      <c r="AA42" s="75"/>
      <c r="AB42" s="75"/>
      <c r="AC42" s="75"/>
      <c r="AD42" s="77">
        <f>SUM(K42:R42)</f>
        <v>6</v>
      </c>
      <c r="AE42" s="77">
        <f>SUM(S42:AA42)</f>
        <v>0</v>
      </c>
      <c r="AF42" s="77">
        <f>+AE42+AD42</f>
        <v>6</v>
      </c>
    </row>
    <row r="43" spans="1:32" ht="38.25" hidden="1" x14ac:dyDescent="0.2">
      <c r="A43" s="86" t="s">
        <v>310</v>
      </c>
      <c r="B43" s="59" t="s">
        <v>299</v>
      </c>
      <c r="C43" s="84">
        <f>SUM(C44:C47)</f>
        <v>0</v>
      </c>
      <c r="D43" s="84"/>
      <c r="E43" s="84"/>
      <c r="F43" s="84"/>
      <c r="G43" s="84"/>
      <c r="H43" s="84"/>
      <c r="I43" s="84">
        <f>SUM(I44:I47)</f>
        <v>0</v>
      </c>
      <c r="J43" s="84"/>
      <c r="K43" s="84">
        <f t="shared" ref="K43:AF43" si="24">+K47</f>
        <v>0</v>
      </c>
      <c r="L43" s="84">
        <f t="shared" si="24"/>
        <v>0</v>
      </c>
      <c r="M43" s="84">
        <f t="shared" si="24"/>
        <v>0</v>
      </c>
      <c r="N43" s="84">
        <f t="shared" si="24"/>
        <v>0</v>
      </c>
      <c r="O43" s="84">
        <f t="shared" si="24"/>
        <v>1</v>
      </c>
      <c r="P43" s="84">
        <f t="shared" si="24"/>
        <v>1</v>
      </c>
      <c r="Q43" s="84">
        <f t="shared" si="24"/>
        <v>1</v>
      </c>
      <c r="R43" s="84">
        <f t="shared" si="24"/>
        <v>1</v>
      </c>
      <c r="S43" s="84">
        <f t="shared" si="24"/>
        <v>1</v>
      </c>
      <c r="T43" s="84">
        <f t="shared" si="24"/>
        <v>1</v>
      </c>
      <c r="U43" s="84">
        <f t="shared" si="24"/>
        <v>1</v>
      </c>
      <c r="V43" s="84">
        <f t="shared" si="24"/>
        <v>1</v>
      </c>
      <c r="W43" s="84">
        <f t="shared" si="24"/>
        <v>1</v>
      </c>
      <c r="X43" s="84">
        <f t="shared" si="24"/>
        <v>1</v>
      </c>
      <c r="Y43" s="84">
        <f t="shared" si="24"/>
        <v>1</v>
      </c>
      <c r="Z43" s="84">
        <f t="shared" si="24"/>
        <v>1</v>
      </c>
      <c r="AA43" s="84">
        <f t="shared" si="24"/>
        <v>1</v>
      </c>
      <c r="AB43" s="84"/>
      <c r="AC43" s="84"/>
      <c r="AD43" s="84">
        <f t="shared" si="24"/>
        <v>4</v>
      </c>
      <c r="AE43" s="84">
        <f t="shared" si="24"/>
        <v>9</v>
      </c>
      <c r="AF43" s="84">
        <f t="shared" si="24"/>
        <v>13</v>
      </c>
    </row>
    <row r="44" spans="1:32" s="147" customFormat="1" hidden="1" x14ac:dyDescent="0.2">
      <c r="A44" s="141" t="s">
        <v>357</v>
      </c>
      <c r="B44" s="142" t="s">
        <v>94</v>
      </c>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row>
    <row r="45" spans="1:32" s="147" customFormat="1" hidden="1" x14ac:dyDescent="0.2">
      <c r="A45" s="141" t="s">
        <v>358</v>
      </c>
      <c r="B45" s="142" t="s">
        <v>94</v>
      </c>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row>
    <row r="46" spans="1:32" s="147" customFormat="1" hidden="1" x14ac:dyDescent="0.2">
      <c r="A46" s="141" t="s">
        <v>359</v>
      </c>
      <c r="B46" s="142" t="s">
        <v>94</v>
      </c>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row>
    <row r="47" spans="1:32" s="60" customFormat="1" ht="10.5" customHeight="1" x14ac:dyDescent="0.2">
      <c r="A47" s="88" t="s">
        <v>360</v>
      </c>
      <c r="B47" s="142" t="s">
        <v>94</v>
      </c>
      <c r="C47" s="93"/>
      <c r="D47" s="93"/>
      <c r="E47" s="93"/>
      <c r="F47" s="93"/>
      <c r="G47" s="93"/>
      <c r="H47" s="93"/>
      <c r="I47" s="93">
        <f>+'Prog de Actividades y F (USD)'!D101*'POA y F de caja'!$I$104</f>
        <v>0</v>
      </c>
      <c r="J47" s="75"/>
      <c r="K47" s="79"/>
      <c r="L47" s="79"/>
      <c r="M47" s="79"/>
      <c r="N47" s="79"/>
      <c r="O47" s="81">
        <v>1</v>
      </c>
      <c r="P47" s="81">
        <v>1</v>
      </c>
      <c r="Q47" s="81">
        <v>1</v>
      </c>
      <c r="R47" s="81">
        <v>1</v>
      </c>
      <c r="S47" s="81">
        <v>1</v>
      </c>
      <c r="T47" s="81">
        <v>1</v>
      </c>
      <c r="U47" s="81">
        <v>1</v>
      </c>
      <c r="V47" s="81">
        <v>1</v>
      </c>
      <c r="W47" s="81">
        <v>1</v>
      </c>
      <c r="X47" s="81">
        <v>1</v>
      </c>
      <c r="Y47" s="81">
        <v>1</v>
      </c>
      <c r="Z47" s="81">
        <v>1</v>
      </c>
      <c r="AA47" s="81">
        <v>1</v>
      </c>
      <c r="AB47" s="81"/>
      <c r="AC47" s="81"/>
      <c r="AD47" s="77">
        <f>SUM(K47:R47)</f>
        <v>4</v>
      </c>
      <c r="AE47" s="77">
        <f>SUM(S47:AA47)</f>
        <v>9</v>
      </c>
      <c r="AF47" s="77">
        <f>+AE47+AD47</f>
        <v>13</v>
      </c>
    </row>
    <row r="48" spans="1:32" ht="39" customHeight="1" x14ac:dyDescent="0.2">
      <c r="A48" s="86" t="s">
        <v>311</v>
      </c>
      <c r="B48" s="59" t="s">
        <v>409</v>
      </c>
      <c r="C48" s="76">
        <f>SUM(C49:C52)</f>
        <v>0</v>
      </c>
      <c r="D48" s="76"/>
      <c r="E48" s="76"/>
      <c r="F48" s="76"/>
      <c r="G48" s="76"/>
      <c r="H48" s="76"/>
      <c r="I48" s="76">
        <f>SUM(I49:I52)</f>
        <v>0</v>
      </c>
      <c r="J48" s="76"/>
      <c r="K48" s="76">
        <f t="shared" ref="K48:AF48" si="25">SUM(K51:K52)</f>
        <v>1</v>
      </c>
      <c r="L48" s="76">
        <f t="shared" si="25"/>
        <v>1</v>
      </c>
      <c r="M48" s="76">
        <f t="shared" si="25"/>
        <v>1</v>
      </c>
      <c r="N48" s="76">
        <f t="shared" si="25"/>
        <v>1</v>
      </c>
      <c r="O48" s="76">
        <f t="shared" si="25"/>
        <v>1</v>
      </c>
      <c r="P48" s="76">
        <f t="shared" si="25"/>
        <v>1</v>
      </c>
      <c r="Q48" s="76">
        <f t="shared" si="25"/>
        <v>1</v>
      </c>
      <c r="R48" s="76">
        <f t="shared" si="25"/>
        <v>1</v>
      </c>
      <c r="S48" s="76">
        <f t="shared" si="25"/>
        <v>1</v>
      </c>
      <c r="T48" s="76">
        <f t="shared" si="25"/>
        <v>1</v>
      </c>
      <c r="U48" s="76">
        <f t="shared" si="25"/>
        <v>1</v>
      </c>
      <c r="V48" s="76">
        <f t="shared" si="25"/>
        <v>1</v>
      </c>
      <c r="W48" s="76">
        <f t="shared" si="25"/>
        <v>1</v>
      </c>
      <c r="X48" s="76">
        <f t="shared" si="25"/>
        <v>1</v>
      </c>
      <c r="Y48" s="76">
        <f t="shared" si="25"/>
        <v>1</v>
      </c>
      <c r="Z48" s="76">
        <f t="shared" si="25"/>
        <v>1</v>
      </c>
      <c r="AA48" s="76">
        <f t="shared" si="25"/>
        <v>1</v>
      </c>
      <c r="AB48" s="76"/>
      <c r="AC48" s="76"/>
      <c r="AD48" s="76">
        <f t="shared" si="25"/>
        <v>8</v>
      </c>
      <c r="AE48" s="76">
        <f t="shared" si="25"/>
        <v>9</v>
      </c>
      <c r="AF48" s="76">
        <f t="shared" si="25"/>
        <v>17</v>
      </c>
    </row>
    <row r="49" spans="1:33" s="147" customFormat="1" hidden="1" x14ac:dyDescent="0.2">
      <c r="A49" s="141" t="s">
        <v>361</v>
      </c>
      <c r="B49" s="142" t="s">
        <v>94</v>
      </c>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row>
    <row r="50" spans="1:33" s="147" customFormat="1" hidden="1" x14ac:dyDescent="0.2">
      <c r="A50" s="141" t="s">
        <v>362</v>
      </c>
      <c r="B50" s="142" t="s">
        <v>94</v>
      </c>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row>
    <row r="51" spans="1:33" hidden="1" x14ac:dyDescent="0.2">
      <c r="A51" s="88" t="s">
        <v>363</v>
      </c>
      <c r="B51" s="142" t="s">
        <v>94</v>
      </c>
      <c r="C51" s="93"/>
      <c r="D51" s="93"/>
      <c r="E51" s="93"/>
      <c r="F51" s="93"/>
      <c r="G51" s="93"/>
      <c r="H51" s="93"/>
      <c r="I51" s="93">
        <f>+'Prog de Actividades y F (USD)'!D107*'POA y F de caja'!$I$104</f>
        <v>0</v>
      </c>
      <c r="J51" s="75"/>
      <c r="K51" s="133"/>
      <c r="L51" s="75"/>
      <c r="M51" s="75"/>
      <c r="N51" s="75"/>
      <c r="O51" s="75"/>
      <c r="P51" s="75"/>
      <c r="Q51" s="75"/>
      <c r="R51" s="75"/>
      <c r="S51" s="75"/>
      <c r="T51" s="75"/>
      <c r="U51" s="75"/>
      <c r="V51" s="75"/>
      <c r="W51" s="75"/>
      <c r="X51" s="75"/>
      <c r="Y51" s="75"/>
      <c r="Z51" s="79"/>
      <c r="AA51" s="79"/>
      <c r="AB51" s="79"/>
      <c r="AC51" s="79"/>
      <c r="AD51" s="77">
        <f t="shared" ref="AD51:AD52" si="26">SUM(K51:R51)</f>
        <v>0</v>
      </c>
      <c r="AE51" s="77">
        <f t="shared" ref="AE51:AE52" si="27">SUM(S51:AA51)</f>
        <v>0</v>
      </c>
      <c r="AF51" s="77">
        <f t="shared" ref="AF51:AF52" si="28">+AE51+AD51</f>
        <v>0</v>
      </c>
      <c r="AG51" s="60"/>
    </row>
    <row r="52" spans="1:33" hidden="1" x14ac:dyDescent="0.2">
      <c r="A52" s="88" t="s">
        <v>364</v>
      </c>
      <c r="B52" s="142" t="s">
        <v>94</v>
      </c>
      <c r="C52" s="93"/>
      <c r="D52" s="93"/>
      <c r="E52" s="93"/>
      <c r="F52" s="93"/>
      <c r="G52" s="93"/>
      <c r="H52" s="93"/>
      <c r="I52" s="93">
        <f>+'Prog de Actividades y F (USD)'!D108*'POA y F de caja'!$I$104</f>
        <v>0</v>
      </c>
      <c r="J52" s="75"/>
      <c r="K52" s="81">
        <v>1</v>
      </c>
      <c r="L52" s="81">
        <v>1</v>
      </c>
      <c r="M52" s="81">
        <v>1</v>
      </c>
      <c r="N52" s="81">
        <v>1</v>
      </c>
      <c r="O52" s="81">
        <v>1</v>
      </c>
      <c r="P52" s="81">
        <v>1</v>
      </c>
      <c r="Q52" s="81">
        <v>1</v>
      </c>
      <c r="R52" s="81">
        <v>1</v>
      </c>
      <c r="S52" s="81">
        <v>1</v>
      </c>
      <c r="T52" s="81">
        <v>1</v>
      </c>
      <c r="U52" s="81">
        <v>1</v>
      </c>
      <c r="V52" s="81">
        <v>1</v>
      </c>
      <c r="W52" s="81">
        <v>1</v>
      </c>
      <c r="X52" s="81">
        <v>1</v>
      </c>
      <c r="Y52" s="81">
        <v>1</v>
      </c>
      <c r="Z52" s="81">
        <v>1</v>
      </c>
      <c r="AA52" s="81">
        <v>1</v>
      </c>
      <c r="AB52" s="81"/>
      <c r="AC52" s="81"/>
      <c r="AD52" s="77">
        <f t="shared" si="26"/>
        <v>8</v>
      </c>
      <c r="AE52" s="77">
        <f t="shared" si="27"/>
        <v>9</v>
      </c>
      <c r="AF52" s="77">
        <f t="shared" si="28"/>
        <v>17</v>
      </c>
      <c r="AG52" s="60"/>
    </row>
    <row r="53" spans="1:33" ht="25.5" hidden="1" x14ac:dyDescent="0.2">
      <c r="A53" s="86" t="s">
        <v>312</v>
      </c>
      <c r="B53" s="59" t="s">
        <v>300</v>
      </c>
      <c r="C53" s="76">
        <f>SUM(C54:C57)</f>
        <v>0</v>
      </c>
      <c r="D53" s="76"/>
      <c r="E53" s="76"/>
      <c r="F53" s="76"/>
      <c r="G53" s="76"/>
      <c r="H53" s="76"/>
      <c r="I53" s="76">
        <f>SUM(I54:I57)</f>
        <v>0</v>
      </c>
      <c r="J53" s="76"/>
      <c r="K53" s="76">
        <f t="shared" ref="K53:AA53" si="29">SUM(K57:K57)</f>
        <v>0</v>
      </c>
      <c r="L53" s="76">
        <f t="shared" si="29"/>
        <v>0</v>
      </c>
      <c r="M53" s="76">
        <f t="shared" si="29"/>
        <v>0</v>
      </c>
      <c r="N53" s="76">
        <f t="shared" si="29"/>
        <v>0</v>
      </c>
      <c r="O53" s="76">
        <f t="shared" si="29"/>
        <v>0</v>
      </c>
      <c r="P53" s="76">
        <f t="shared" si="29"/>
        <v>0</v>
      </c>
      <c r="Q53" s="76">
        <f t="shared" si="29"/>
        <v>0</v>
      </c>
      <c r="R53" s="76">
        <f t="shared" si="29"/>
        <v>0</v>
      </c>
      <c r="S53" s="76">
        <f t="shared" si="29"/>
        <v>1</v>
      </c>
      <c r="T53" s="76">
        <f t="shared" si="29"/>
        <v>1</v>
      </c>
      <c r="U53" s="76">
        <f t="shared" si="29"/>
        <v>0</v>
      </c>
      <c r="V53" s="76">
        <f t="shared" si="29"/>
        <v>0</v>
      </c>
      <c r="W53" s="76">
        <f t="shared" si="29"/>
        <v>0</v>
      </c>
      <c r="X53" s="76">
        <f t="shared" si="29"/>
        <v>0</v>
      </c>
      <c r="Y53" s="76">
        <f t="shared" si="29"/>
        <v>0</v>
      </c>
      <c r="Z53" s="76">
        <f t="shared" si="29"/>
        <v>0</v>
      </c>
      <c r="AA53" s="76">
        <f t="shared" si="29"/>
        <v>0</v>
      </c>
      <c r="AB53" s="76"/>
      <c r="AC53" s="76"/>
      <c r="AD53" s="76">
        <f>+AD57</f>
        <v>0</v>
      </c>
      <c r="AE53" s="76">
        <f>+AE57</f>
        <v>2</v>
      </c>
      <c r="AF53" s="76">
        <f>+AF57</f>
        <v>2</v>
      </c>
    </row>
    <row r="54" spans="1:33" s="147" customFormat="1" hidden="1" x14ac:dyDescent="0.2">
      <c r="A54" s="141" t="s">
        <v>365</v>
      </c>
      <c r="B54" s="142" t="s">
        <v>94</v>
      </c>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row>
    <row r="55" spans="1:33" s="147" customFormat="1" hidden="1" x14ac:dyDescent="0.2">
      <c r="A55" s="141" t="s">
        <v>366</v>
      </c>
      <c r="B55" s="142" t="s">
        <v>94</v>
      </c>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row>
    <row r="56" spans="1:33" s="147" customFormat="1" hidden="1" x14ac:dyDescent="0.2">
      <c r="A56" s="141" t="s">
        <v>367</v>
      </c>
      <c r="B56" s="142" t="s">
        <v>94</v>
      </c>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row>
    <row r="57" spans="1:33" s="60" customFormat="1" hidden="1" x14ac:dyDescent="0.2">
      <c r="A57" s="88" t="s">
        <v>368</v>
      </c>
      <c r="B57" s="142" t="s">
        <v>94</v>
      </c>
      <c r="C57" s="93"/>
      <c r="D57" s="93"/>
      <c r="E57" s="93"/>
      <c r="F57" s="93"/>
      <c r="G57" s="93"/>
      <c r="H57" s="93"/>
      <c r="I57" s="93">
        <f>+'Prog de Actividades y F (USD)'!D115*'POA y F de caja'!$I$104</f>
        <v>0</v>
      </c>
      <c r="J57" s="75"/>
      <c r="K57" s="75"/>
      <c r="L57" s="75"/>
      <c r="M57" s="108"/>
      <c r="N57" s="108"/>
      <c r="O57" s="79"/>
      <c r="P57" s="79"/>
      <c r="Q57" s="79"/>
      <c r="R57" s="79"/>
      <c r="S57" s="81">
        <v>1</v>
      </c>
      <c r="T57" s="81">
        <v>1</v>
      </c>
      <c r="U57" s="75">
        <f>+C57</f>
        <v>0</v>
      </c>
      <c r="V57" s="75"/>
      <c r="W57" s="75"/>
      <c r="X57" s="75"/>
      <c r="Y57" s="75"/>
      <c r="Z57" s="75"/>
      <c r="AA57" s="75"/>
      <c r="AB57" s="75"/>
      <c r="AC57" s="75"/>
      <c r="AD57" s="77">
        <f>SUM(K57:R57)</f>
        <v>0</v>
      </c>
      <c r="AE57" s="77">
        <f>SUM(S57:AA57)</f>
        <v>2</v>
      </c>
      <c r="AF57" s="77">
        <f>+AE57+AD57</f>
        <v>2</v>
      </c>
    </row>
    <row r="58" spans="1:33" ht="54.75" customHeight="1" x14ac:dyDescent="0.2">
      <c r="A58" s="89" t="s">
        <v>158</v>
      </c>
      <c r="B58" s="58" t="s">
        <v>410</v>
      </c>
      <c r="C58" s="80">
        <f>+C59+C64+C69+C74+C79+C84</f>
        <v>0</v>
      </c>
      <c r="D58" s="80"/>
      <c r="E58" s="80"/>
      <c r="F58" s="80"/>
      <c r="G58" s="80"/>
      <c r="H58" s="80"/>
      <c r="I58" s="80">
        <f>+I59+I64+I69+I74+I79+I84</f>
        <v>0</v>
      </c>
      <c r="J58" s="80"/>
      <c r="K58" s="80">
        <f t="shared" ref="K58:AF58" si="30">+K59+K64+K69+K74+K79+K84</f>
        <v>0</v>
      </c>
      <c r="L58" s="80">
        <f t="shared" si="30"/>
        <v>0</v>
      </c>
      <c r="M58" s="80">
        <f t="shared" si="30"/>
        <v>0</v>
      </c>
      <c r="N58" s="80">
        <f t="shared" si="30"/>
        <v>0</v>
      </c>
      <c r="O58" s="80">
        <f t="shared" si="30"/>
        <v>0</v>
      </c>
      <c r="P58" s="80">
        <f t="shared" si="30"/>
        <v>0</v>
      </c>
      <c r="Q58" s="80">
        <f t="shared" si="30"/>
        <v>0</v>
      </c>
      <c r="R58" s="80">
        <f t="shared" si="30"/>
        <v>0</v>
      </c>
      <c r="S58" s="80">
        <f t="shared" si="30"/>
        <v>3</v>
      </c>
      <c r="T58" s="80">
        <f t="shared" si="30"/>
        <v>571</v>
      </c>
      <c r="U58" s="80">
        <f t="shared" si="30"/>
        <v>574</v>
      </c>
      <c r="V58" s="80">
        <f t="shared" si="30"/>
        <v>571</v>
      </c>
      <c r="W58" s="80">
        <f t="shared" si="30"/>
        <v>571</v>
      </c>
      <c r="X58" s="80">
        <f t="shared" si="30"/>
        <v>571</v>
      </c>
      <c r="Y58" s="80">
        <f t="shared" si="30"/>
        <v>571</v>
      </c>
      <c r="Z58" s="80">
        <f t="shared" si="30"/>
        <v>571</v>
      </c>
      <c r="AA58" s="80">
        <f t="shared" si="30"/>
        <v>571</v>
      </c>
      <c r="AB58" s="80"/>
      <c r="AC58" s="80"/>
      <c r="AD58" s="80">
        <f t="shared" si="30"/>
        <v>0</v>
      </c>
      <c r="AE58" s="80">
        <f t="shared" si="30"/>
        <v>2686</v>
      </c>
      <c r="AF58" s="80">
        <f t="shared" si="30"/>
        <v>2686</v>
      </c>
    </row>
    <row r="59" spans="1:33" ht="41.25" customHeight="1" x14ac:dyDescent="0.2">
      <c r="A59" s="86" t="s">
        <v>76</v>
      </c>
      <c r="B59" s="59" t="s">
        <v>411</v>
      </c>
      <c r="C59" s="76">
        <f>SUM(C60:C63)</f>
        <v>0</v>
      </c>
      <c r="D59" s="76"/>
      <c r="E59" s="76"/>
      <c r="F59" s="76"/>
      <c r="G59" s="76"/>
      <c r="H59" s="76"/>
      <c r="I59" s="76">
        <f>SUM(I60:I63)</f>
        <v>0</v>
      </c>
      <c r="J59" s="76"/>
      <c r="K59" s="76">
        <f t="shared" ref="K59:AA59" si="31">SUM(K61:K94)</f>
        <v>0</v>
      </c>
      <c r="L59" s="76">
        <f t="shared" si="31"/>
        <v>0</v>
      </c>
      <c r="M59" s="76">
        <f t="shared" si="31"/>
        <v>0</v>
      </c>
      <c r="N59" s="76">
        <f t="shared" si="31"/>
        <v>0</v>
      </c>
      <c r="O59" s="76">
        <f t="shared" si="31"/>
        <v>0</v>
      </c>
      <c r="P59" s="76">
        <f t="shared" si="31"/>
        <v>0</v>
      </c>
      <c r="Q59" s="76">
        <f t="shared" si="31"/>
        <v>0</v>
      </c>
      <c r="R59" s="76">
        <f t="shared" si="31"/>
        <v>0</v>
      </c>
      <c r="S59" s="76">
        <f t="shared" si="31"/>
        <v>3</v>
      </c>
      <c r="T59" s="76">
        <f t="shared" si="31"/>
        <v>301</v>
      </c>
      <c r="U59" s="76">
        <f t="shared" si="31"/>
        <v>303</v>
      </c>
      <c r="V59" s="76">
        <f t="shared" si="31"/>
        <v>300</v>
      </c>
      <c r="W59" s="76">
        <f t="shared" si="31"/>
        <v>300</v>
      </c>
      <c r="X59" s="76">
        <f t="shared" si="31"/>
        <v>300</v>
      </c>
      <c r="Y59" s="76">
        <f t="shared" si="31"/>
        <v>300</v>
      </c>
      <c r="Z59" s="76">
        <f t="shared" si="31"/>
        <v>300</v>
      </c>
      <c r="AA59" s="76">
        <f t="shared" si="31"/>
        <v>300</v>
      </c>
      <c r="AB59" s="76"/>
      <c r="AC59" s="76"/>
      <c r="AD59" s="76">
        <f>SUM(AD61:AD63)</f>
        <v>0</v>
      </c>
      <c r="AE59" s="76">
        <f>SUM(AE61:AE94)</f>
        <v>1415</v>
      </c>
      <c r="AF59" s="76">
        <f>SUM(AF61:AF94)</f>
        <v>1415</v>
      </c>
    </row>
    <row r="60" spans="1:33" s="147" customFormat="1" x14ac:dyDescent="0.2">
      <c r="A60" s="141" t="s">
        <v>369</v>
      </c>
      <c r="B60" s="142" t="s">
        <v>94</v>
      </c>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row>
    <row r="61" spans="1:33" s="60" customFormat="1" x14ac:dyDescent="0.2">
      <c r="A61" s="88" t="s">
        <v>370</v>
      </c>
      <c r="B61" s="142" t="s">
        <v>94</v>
      </c>
      <c r="C61" s="93"/>
      <c r="D61" s="93"/>
      <c r="E61" s="93"/>
      <c r="F61" s="93"/>
      <c r="G61" s="93"/>
      <c r="H61" s="93"/>
      <c r="I61" s="93">
        <f>+'Prog de Actividades y F (USD)'!D123*'POA y F de caja'!$I$104</f>
        <v>0</v>
      </c>
      <c r="J61" s="75"/>
      <c r="K61" s="75"/>
      <c r="L61" s="75"/>
      <c r="M61" s="108"/>
      <c r="N61" s="108"/>
      <c r="O61" s="79"/>
      <c r="P61" s="79"/>
      <c r="Q61" s="79"/>
      <c r="R61" s="79"/>
      <c r="S61" s="81">
        <v>1</v>
      </c>
      <c r="T61" s="81">
        <v>1</v>
      </c>
      <c r="U61" s="81">
        <v>1</v>
      </c>
      <c r="V61" s="75">
        <f>+C61</f>
        <v>0</v>
      </c>
      <c r="W61" s="75"/>
      <c r="X61" s="75"/>
      <c r="Y61" s="75"/>
      <c r="Z61" s="75"/>
      <c r="AA61" s="75"/>
      <c r="AB61" s="75"/>
      <c r="AC61" s="75"/>
      <c r="AD61" s="77">
        <f t="shared" ref="AD61:AD63" si="32">SUM(K61:R61)</f>
        <v>0</v>
      </c>
      <c r="AE61" s="77">
        <f t="shared" ref="AE61:AE63" si="33">SUM(S61:AA61)</f>
        <v>3</v>
      </c>
      <c r="AF61" s="77">
        <f t="shared" ref="AF61:AF63" si="34">+AE61+AD61</f>
        <v>3</v>
      </c>
    </row>
    <row r="62" spans="1:33" s="60" customFormat="1" x14ac:dyDescent="0.2">
      <c r="A62" s="88" t="s">
        <v>371</v>
      </c>
      <c r="B62" s="142" t="s">
        <v>94</v>
      </c>
      <c r="C62" s="93"/>
      <c r="D62" s="93"/>
      <c r="E62" s="93"/>
      <c r="F62" s="93"/>
      <c r="G62" s="93"/>
      <c r="H62" s="93"/>
      <c r="I62" s="93"/>
      <c r="J62" s="75"/>
      <c r="K62" s="75"/>
      <c r="L62" s="75"/>
      <c r="M62" s="108"/>
      <c r="N62" s="108"/>
      <c r="O62" s="79"/>
      <c r="P62" s="79"/>
      <c r="Q62" s="79"/>
      <c r="R62" s="79"/>
      <c r="S62" s="81">
        <v>1</v>
      </c>
      <c r="T62" s="81">
        <v>1</v>
      </c>
      <c r="U62" s="81">
        <v>1</v>
      </c>
      <c r="V62" s="75"/>
      <c r="W62" s="75"/>
      <c r="X62" s="75"/>
      <c r="Y62" s="75"/>
      <c r="Z62" s="75"/>
      <c r="AA62" s="75"/>
      <c r="AB62" s="75"/>
      <c r="AC62" s="75"/>
      <c r="AD62" s="77">
        <f t="shared" si="32"/>
        <v>0</v>
      </c>
      <c r="AE62" s="77">
        <f t="shared" si="33"/>
        <v>3</v>
      </c>
      <c r="AF62" s="77">
        <f t="shared" si="34"/>
        <v>3</v>
      </c>
    </row>
    <row r="63" spans="1:33" s="60" customFormat="1" x14ac:dyDescent="0.2">
      <c r="A63" s="88" t="s">
        <v>372</v>
      </c>
      <c r="B63" s="142" t="s">
        <v>94</v>
      </c>
      <c r="C63" s="93"/>
      <c r="D63" s="93"/>
      <c r="E63" s="93"/>
      <c r="F63" s="93"/>
      <c r="G63" s="93"/>
      <c r="H63" s="93"/>
      <c r="I63" s="93"/>
      <c r="J63" s="75"/>
      <c r="K63" s="75"/>
      <c r="L63" s="75"/>
      <c r="M63" s="108"/>
      <c r="N63" s="108"/>
      <c r="O63" s="79"/>
      <c r="P63" s="79"/>
      <c r="Q63" s="79"/>
      <c r="R63" s="79"/>
      <c r="S63" s="81">
        <v>1</v>
      </c>
      <c r="T63" s="81">
        <v>1</v>
      </c>
      <c r="U63" s="81">
        <v>1</v>
      </c>
      <c r="V63" s="75"/>
      <c r="W63" s="75"/>
      <c r="X63" s="75"/>
      <c r="Y63" s="75"/>
      <c r="Z63" s="75"/>
      <c r="AA63" s="75"/>
      <c r="AB63" s="75"/>
      <c r="AC63" s="75"/>
      <c r="AD63" s="77">
        <f t="shared" si="32"/>
        <v>0</v>
      </c>
      <c r="AE63" s="77">
        <f t="shared" si="33"/>
        <v>3</v>
      </c>
      <c r="AF63" s="77">
        <f t="shared" si="34"/>
        <v>3</v>
      </c>
    </row>
    <row r="64" spans="1:33" ht="38.25" hidden="1" x14ac:dyDescent="0.2">
      <c r="A64" s="86" t="s">
        <v>146</v>
      </c>
      <c r="B64" s="59" t="s">
        <v>301</v>
      </c>
      <c r="C64" s="76">
        <f>SUM(C65:C68)</f>
        <v>0</v>
      </c>
      <c r="D64" s="76"/>
      <c r="E64" s="76"/>
      <c r="F64" s="76"/>
      <c r="G64" s="76"/>
      <c r="H64" s="76"/>
      <c r="I64" s="76">
        <f>SUM(I65:I68)</f>
        <v>0</v>
      </c>
      <c r="J64" s="76"/>
      <c r="K64" s="76">
        <f t="shared" ref="K64:AF64" si="35">SUM(K65:K68)</f>
        <v>0</v>
      </c>
      <c r="L64" s="76">
        <f t="shared" si="35"/>
        <v>0</v>
      </c>
      <c r="M64" s="76">
        <f t="shared" si="35"/>
        <v>0</v>
      </c>
      <c r="N64" s="76">
        <f t="shared" si="35"/>
        <v>0</v>
      </c>
      <c r="O64" s="76">
        <f t="shared" si="35"/>
        <v>0</v>
      </c>
      <c r="P64" s="76">
        <f t="shared" si="35"/>
        <v>0</v>
      </c>
      <c r="Q64" s="76">
        <f t="shared" si="35"/>
        <v>0</v>
      </c>
      <c r="R64" s="76">
        <f t="shared" si="35"/>
        <v>0</v>
      </c>
      <c r="S64" s="76">
        <f t="shared" si="35"/>
        <v>0</v>
      </c>
      <c r="T64" s="76">
        <f t="shared" si="35"/>
        <v>3</v>
      </c>
      <c r="U64" s="76">
        <f t="shared" si="35"/>
        <v>4</v>
      </c>
      <c r="V64" s="76">
        <f t="shared" si="35"/>
        <v>4</v>
      </c>
      <c r="W64" s="76">
        <f t="shared" si="35"/>
        <v>4</v>
      </c>
      <c r="X64" s="76">
        <f t="shared" si="35"/>
        <v>4</v>
      </c>
      <c r="Y64" s="76">
        <f t="shared" si="35"/>
        <v>4</v>
      </c>
      <c r="Z64" s="76">
        <f t="shared" si="35"/>
        <v>4</v>
      </c>
      <c r="AA64" s="76">
        <f t="shared" si="35"/>
        <v>4</v>
      </c>
      <c r="AB64" s="76"/>
      <c r="AC64" s="76"/>
      <c r="AD64" s="76">
        <f t="shared" si="35"/>
        <v>0</v>
      </c>
      <c r="AE64" s="76">
        <f t="shared" si="35"/>
        <v>15</v>
      </c>
      <c r="AF64" s="76">
        <f t="shared" si="35"/>
        <v>15</v>
      </c>
    </row>
    <row r="65" spans="1:32" s="60" customFormat="1" hidden="1" x14ac:dyDescent="0.2">
      <c r="A65" s="88" t="s">
        <v>373</v>
      </c>
      <c r="B65" s="142" t="s">
        <v>94</v>
      </c>
      <c r="C65" s="93"/>
      <c r="D65" s="93"/>
      <c r="E65" s="93"/>
      <c r="F65" s="93"/>
      <c r="G65" s="93"/>
      <c r="H65" s="93"/>
      <c r="I65" s="93">
        <f>+'Prog de Actividades y F (USD)'!D115*'POA y F de caja'!$I$104</f>
        <v>0</v>
      </c>
      <c r="J65" s="75"/>
      <c r="K65" s="75"/>
      <c r="L65" s="75"/>
      <c r="M65" s="75"/>
      <c r="N65" s="108"/>
      <c r="O65" s="108"/>
      <c r="P65" s="108"/>
      <c r="Q65" s="79"/>
      <c r="R65" s="79"/>
      <c r="S65" s="79"/>
      <c r="T65" s="81">
        <v>1</v>
      </c>
      <c r="U65" s="81">
        <v>1</v>
      </c>
      <c r="V65" s="81">
        <v>1</v>
      </c>
      <c r="W65" s="81">
        <v>1</v>
      </c>
      <c r="X65" s="81">
        <v>1</v>
      </c>
      <c r="Y65" s="81">
        <v>1</v>
      </c>
      <c r="Z65" s="81">
        <v>1</v>
      </c>
      <c r="AA65" s="81">
        <v>1</v>
      </c>
      <c r="AB65" s="81"/>
      <c r="AC65" s="81"/>
      <c r="AD65" s="77">
        <f t="shared" ref="AD65:AD68" si="36">SUM(K65:R65)</f>
        <v>0</v>
      </c>
      <c r="AE65" s="77">
        <f t="shared" ref="AE65:AE68" si="37">SUM(S65:AA65)</f>
        <v>8</v>
      </c>
      <c r="AF65" s="77">
        <f t="shared" ref="AF65:AF68" si="38">+AE65+AD65</f>
        <v>8</v>
      </c>
    </row>
    <row r="66" spans="1:32" s="60" customFormat="1" hidden="1" x14ac:dyDescent="0.2">
      <c r="A66" s="88" t="s">
        <v>374</v>
      </c>
      <c r="B66" s="142" t="s">
        <v>94</v>
      </c>
      <c r="C66" s="93"/>
      <c r="D66" s="93"/>
      <c r="E66" s="93"/>
      <c r="F66" s="93"/>
      <c r="G66" s="93"/>
      <c r="H66" s="93"/>
      <c r="I66" s="93"/>
      <c r="J66" s="75"/>
      <c r="K66" s="75"/>
      <c r="L66" s="75"/>
      <c r="M66" s="75"/>
      <c r="N66" s="108"/>
      <c r="O66" s="108"/>
      <c r="P66" s="108"/>
      <c r="Q66" s="79"/>
      <c r="R66" s="79"/>
      <c r="S66" s="79"/>
      <c r="T66" s="81">
        <v>1</v>
      </c>
      <c r="U66" s="81">
        <v>1</v>
      </c>
      <c r="V66" s="81">
        <v>1</v>
      </c>
      <c r="W66" s="81">
        <v>1</v>
      </c>
      <c r="X66" s="81">
        <v>1</v>
      </c>
      <c r="Y66" s="81">
        <v>1</v>
      </c>
      <c r="Z66" s="81">
        <v>1</v>
      </c>
      <c r="AA66" s="81">
        <v>1</v>
      </c>
      <c r="AB66" s="81"/>
      <c r="AC66" s="81"/>
      <c r="AD66" s="77"/>
      <c r="AE66" s="77"/>
      <c r="AF66" s="77"/>
    </row>
    <row r="67" spans="1:32" s="60" customFormat="1" hidden="1" x14ac:dyDescent="0.2">
      <c r="A67" s="88" t="s">
        <v>375</v>
      </c>
      <c r="B67" s="142" t="s">
        <v>94</v>
      </c>
      <c r="C67" s="93"/>
      <c r="D67" s="93"/>
      <c r="E67" s="93"/>
      <c r="F67" s="93"/>
      <c r="G67" s="93"/>
      <c r="H67" s="93"/>
      <c r="I67" s="93"/>
      <c r="J67" s="75"/>
      <c r="K67" s="75"/>
      <c r="L67" s="75"/>
      <c r="M67" s="75"/>
      <c r="N67" s="108"/>
      <c r="O67" s="108"/>
      <c r="P67" s="108"/>
      <c r="Q67" s="79"/>
      <c r="R67" s="79"/>
      <c r="S67" s="79"/>
      <c r="T67" s="81">
        <v>1</v>
      </c>
      <c r="U67" s="81">
        <v>1</v>
      </c>
      <c r="V67" s="81">
        <v>1</v>
      </c>
      <c r="W67" s="81">
        <v>1</v>
      </c>
      <c r="X67" s="81">
        <v>1</v>
      </c>
      <c r="Y67" s="81">
        <v>1</v>
      </c>
      <c r="Z67" s="81">
        <v>1</v>
      </c>
      <c r="AA67" s="81">
        <v>1</v>
      </c>
      <c r="AB67" s="81"/>
      <c r="AC67" s="81"/>
      <c r="AD67" s="77"/>
      <c r="AE67" s="77"/>
      <c r="AF67" s="77"/>
    </row>
    <row r="68" spans="1:32" s="60" customFormat="1" hidden="1" x14ac:dyDescent="0.2">
      <c r="A68" s="88" t="s">
        <v>376</v>
      </c>
      <c r="B68" s="142" t="s">
        <v>94</v>
      </c>
      <c r="C68" s="93"/>
      <c r="D68" s="93"/>
      <c r="E68" s="93"/>
      <c r="F68" s="93"/>
      <c r="G68" s="93"/>
      <c r="H68" s="93"/>
      <c r="I68" s="93"/>
      <c r="J68" s="75"/>
      <c r="K68" s="75"/>
      <c r="L68" s="75"/>
      <c r="M68" s="108"/>
      <c r="N68" s="108"/>
      <c r="O68" s="108"/>
      <c r="P68" s="79"/>
      <c r="Q68" s="79"/>
      <c r="R68" s="79"/>
      <c r="S68" s="79"/>
      <c r="T68" s="79"/>
      <c r="U68" s="81">
        <v>1</v>
      </c>
      <c r="V68" s="81">
        <v>1</v>
      </c>
      <c r="W68" s="81">
        <v>1</v>
      </c>
      <c r="X68" s="81">
        <v>1</v>
      </c>
      <c r="Y68" s="81">
        <v>1</v>
      </c>
      <c r="Z68" s="81">
        <v>1</v>
      </c>
      <c r="AA68" s="81">
        <v>1</v>
      </c>
      <c r="AB68" s="81"/>
      <c r="AC68" s="81"/>
      <c r="AD68" s="77">
        <f t="shared" si="36"/>
        <v>0</v>
      </c>
      <c r="AE68" s="77">
        <f t="shared" si="37"/>
        <v>7</v>
      </c>
      <c r="AF68" s="77">
        <f t="shared" si="38"/>
        <v>7</v>
      </c>
    </row>
    <row r="69" spans="1:32" ht="38.25" hidden="1" x14ac:dyDescent="0.2">
      <c r="A69" s="86" t="s">
        <v>313</v>
      </c>
      <c r="B69" s="59" t="s">
        <v>302</v>
      </c>
      <c r="C69" s="76">
        <f>SUM(C70:C73)</f>
        <v>0</v>
      </c>
      <c r="D69" s="76"/>
      <c r="E69" s="76"/>
      <c r="F69" s="76"/>
      <c r="G69" s="76"/>
      <c r="H69" s="76"/>
      <c r="I69" s="76">
        <f>SUM(I70:I73)</f>
        <v>0</v>
      </c>
      <c r="J69" s="76"/>
      <c r="K69" s="76">
        <f t="shared" ref="K69:AA69" si="39">SUM(K72:K94)</f>
        <v>0</v>
      </c>
      <c r="L69" s="76">
        <f t="shared" si="39"/>
        <v>0</v>
      </c>
      <c r="M69" s="76">
        <f t="shared" si="39"/>
        <v>0</v>
      </c>
      <c r="N69" s="76">
        <f t="shared" si="39"/>
        <v>0</v>
      </c>
      <c r="O69" s="76">
        <f t="shared" si="39"/>
        <v>0</v>
      </c>
      <c r="P69" s="76">
        <f t="shared" si="39"/>
        <v>0</v>
      </c>
      <c r="Q69" s="76">
        <f t="shared" si="39"/>
        <v>0</v>
      </c>
      <c r="R69" s="76">
        <f t="shared" si="39"/>
        <v>0</v>
      </c>
      <c r="S69" s="76">
        <f t="shared" si="39"/>
        <v>0</v>
      </c>
      <c r="T69" s="76">
        <f t="shared" si="39"/>
        <v>146</v>
      </c>
      <c r="U69" s="76">
        <f t="shared" si="39"/>
        <v>146</v>
      </c>
      <c r="V69" s="76">
        <f t="shared" si="39"/>
        <v>146</v>
      </c>
      <c r="W69" s="76">
        <f t="shared" si="39"/>
        <v>146</v>
      </c>
      <c r="X69" s="76">
        <f t="shared" si="39"/>
        <v>146</v>
      </c>
      <c r="Y69" s="76">
        <f t="shared" si="39"/>
        <v>146</v>
      </c>
      <c r="Z69" s="76">
        <f t="shared" si="39"/>
        <v>146</v>
      </c>
      <c r="AA69" s="76">
        <f t="shared" si="39"/>
        <v>146</v>
      </c>
      <c r="AB69" s="76"/>
      <c r="AC69" s="76"/>
      <c r="AD69" s="76">
        <f>SUM(AD72:AD73)</f>
        <v>0</v>
      </c>
      <c r="AE69" s="76">
        <f>SUM(AE72:AE94)</f>
        <v>688</v>
      </c>
      <c r="AF69" s="76">
        <f>SUM(AF72:AF94)</f>
        <v>688</v>
      </c>
    </row>
    <row r="70" spans="1:32" s="147" customFormat="1" hidden="1" x14ac:dyDescent="0.2">
      <c r="A70" s="141" t="s">
        <v>377</v>
      </c>
      <c r="B70" s="142" t="s">
        <v>94</v>
      </c>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row>
    <row r="71" spans="1:32" s="147" customFormat="1" hidden="1" x14ac:dyDescent="0.2">
      <c r="A71" s="141" t="s">
        <v>378</v>
      </c>
      <c r="B71" s="142" t="s">
        <v>94</v>
      </c>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row>
    <row r="72" spans="1:32" s="60" customFormat="1" hidden="1" x14ac:dyDescent="0.2">
      <c r="A72" s="88" t="s">
        <v>379</v>
      </c>
      <c r="B72" s="142" t="s">
        <v>94</v>
      </c>
      <c r="C72" s="93"/>
      <c r="D72" s="93"/>
      <c r="E72" s="93"/>
      <c r="F72" s="93"/>
      <c r="G72" s="93"/>
      <c r="H72" s="93"/>
      <c r="I72" s="93"/>
      <c r="J72" s="75"/>
      <c r="K72" s="75"/>
      <c r="L72" s="75"/>
      <c r="M72" s="75"/>
      <c r="N72" s="108"/>
      <c r="O72" s="108"/>
      <c r="P72" s="108"/>
      <c r="Q72" s="79"/>
      <c r="R72" s="79"/>
      <c r="S72" s="79"/>
      <c r="T72" s="81">
        <v>1</v>
      </c>
      <c r="U72" s="81">
        <v>1</v>
      </c>
      <c r="V72" s="81">
        <v>1</v>
      </c>
      <c r="W72" s="81">
        <v>1</v>
      </c>
      <c r="X72" s="81">
        <v>1</v>
      </c>
      <c r="Y72" s="81">
        <v>1</v>
      </c>
      <c r="Z72" s="81">
        <v>1</v>
      </c>
      <c r="AA72" s="81">
        <v>1</v>
      </c>
      <c r="AB72" s="81"/>
      <c r="AC72" s="81"/>
      <c r="AD72" s="77">
        <f t="shared" ref="AD72:AD73" si="40">SUM(K72:R72)</f>
        <v>0</v>
      </c>
      <c r="AE72" s="77">
        <f t="shared" ref="AE72:AE73" si="41">SUM(S72:AA72)</f>
        <v>8</v>
      </c>
      <c r="AF72" s="77">
        <f t="shared" ref="AF72:AF73" si="42">+AE72+AD72</f>
        <v>8</v>
      </c>
    </row>
    <row r="73" spans="1:32" s="60" customFormat="1" hidden="1" x14ac:dyDescent="0.2">
      <c r="A73" s="88" t="s">
        <v>380</v>
      </c>
      <c r="B73" s="142" t="s">
        <v>94</v>
      </c>
      <c r="C73" s="93"/>
      <c r="D73" s="93"/>
      <c r="E73" s="93"/>
      <c r="F73" s="93"/>
      <c r="G73" s="93"/>
      <c r="H73" s="93"/>
      <c r="I73" s="93"/>
      <c r="J73" s="75"/>
      <c r="K73" s="75"/>
      <c r="L73" s="75"/>
      <c r="M73" s="75"/>
      <c r="N73" s="108"/>
      <c r="O73" s="108"/>
      <c r="P73" s="108"/>
      <c r="Q73" s="79"/>
      <c r="R73" s="79"/>
      <c r="S73" s="79"/>
      <c r="T73" s="81">
        <v>1</v>
      </c>
      <c r="U73" s="81">
        <v>1</v>
      </c>
      <c r="V73" s="81">
        <v>1</v>
      </c>
      <c r="W73" s="81">
        <v>1</v>
      </c>
      <c r="X73" s="81">
        <v>1</v>
      </c>
      <c r="Y73" s="81">
        <v>1</v>
      </c>
      <c r="Z73" s="81">
        <v>1</v>
      </c>
      <c r="AA73" s="81">
        <v>1</v>
      </c>
      <c r="AB73" s="81"/>
      <c r="AC73" s="81"/>
      <c r="AD73" s="77">
        <f t="shared" si="40"/>
        <v>0</v>
      </c>
      <c r="AE73" s="77">
        <f t="shared" si="41"/>
        <v>8</v>
      </c>
      <c r="AF73" s="77">
        <f t="shared" si="42"/>
        <v>8</v>
      </c>
    </row>
    <row r="74" spans="1:32" ht="25.5" hidden="1" x14ac:dyDescent="0.2">
      <c r="A74" s="86" t="s">
        <v>314</v>
      </c>
      <c r="B74" s="59" t="s">
        <v>303</v>
      </c>
      <c r="C74" s="76">
        <f>SUM(C75:C78)</f>
        <v>0</v>
      </c>
      <c r="D74" s="76"/>
      <c r="E74" s="76"/>
      <c r="F74" s="76"/>
      <c r="G74" s="76"/>
      <c r="H74" s="76"/>
      <c r="I74" s="76">
        <f>SUM(I75:I78)</f>
        <v>0</v>
      </c>
      <c r="J74" s="76"/>
      <c r="K74" s="76">
        <f t="shared" ref="K74:AA74" si="43">SUM(K75:K94)</f>
        <v>0</v>
      </c>
      <c r="L74" s="76">
        <f t="shared" si="43"/>
        <v>0</v>
      </c>
      <c r="M74" s="76">
        <f t="shared" si="43"/>
        <v>0</v>
      </c>
      <c r="N74" s="76">
        <f t="shared" si="43"/>
        <v>0</v>
      </c>
      <c r="O74" s="76">
        <f t="shared" si="43"/>
        <v>0</v>
      </c>
      <c r="P74" s="76">
        <f t="shared" si="43"/>
        <v>0</v>
      </c>
      <c r="Q74" s="76">
        <f t="shared" si="43"/>
        <v>0</v>
      </c>
      <c r="R74" s="76">
        <f t="shared" si="43"/>
        <v>0</v>
      </c>
      <c r="S74" s="76">
        <f t="shared" si="43"/>
        <v>0</v>
      </c>
      <c r="T74" s="76">
        <f t="shared" si="43"/>
        <v>72</v>
      </c>
      <c r="U74" s="76">
        <f t="shared" si="43"/>
        <v>72</v>
      </c>
      <c r="V74" s="76">
        <f t="shared" si="43"/>
        <v>72</v>
      </c>
      <c r="W74" s="76">
        <f t="shared" si="43"/>
        <v>72</v>
      </c>
      <c r="X74" s="76">
        <f t="shared" si="43"/>
        <v>72</v>
      </c>
      <c r="Y74" s="76">
        <f t="shared" si="43"/>
        <v>72</v>
      </c>
      <c r="Z74" s="76">
        <f t="shared" si="43"/>
        <v>72</v>
      </c>
      <c r="AA74" s="76">
        <f t="shared" si="43"/>
        <v>72</v>
      </c>
      <c r="AB74" s="76"/>
      <c r="AC74" s="76"/>
      <c r="AD74" s="76">
        <f>SUM(AD75:AD78)</f>
        <v>0</v>
      </c>
      <c r="AE74" s="76">
        <f>SUM(AE75:AE94)</f>
        <v>336</v>
      </c>
      <c r="AF74" s="76">
        <f>SUM(AF75:AF94)</f>
        <v>336</v>
      </c>
    </row>
    <row r="75" spans="1:32" s="60" customFormat="1" hidden="1" x14ac:dyDescent="0.2">
      <c r="A75" s="88" t="s">
        <v>381</v>
      </c>
      <c r="B75" s="142" t="s">
        <v>94</v>
      </c>
      <c r="C75" s="93"/>
      <c r="D75" s="93"/>
      <c r="E75" s="93"/>
      <c r="F75" s="93"/>
      <c r="G75" s="93"/>
      <c r="H75" s="93"/>
      <c r="I75" s="93">
        <f>+'Prog de Actividades y F (USD)'!D124*'POA y F de caja'!$I$104</f>
        <v>0</v>
      </c>
      <c r="J75" s="75"/>
      <c r="K75" s="75"/>
      <c r="L75" s="75"/>
      <c r="M75" s="75"/>
      <c r="N75" s="108"/>
      <c r="O75" s="108"/>
      <c r="P75" s="108"/>
      <c r="Q75" s="79"/>
      <c r="R75" s="79"/>
      <c r="S75" s="79"/>
      <c r="T75" s="81">
        <v>1</v>
      </c>
      <c r="U75" s="81">
        <v>1</v>
      </c>
      <c r="V75" s="81">
        <v>1</v>
      </c>
      <c r="W75" s="81">
        <v>1</v>
      </c>
      <c r="X75" s="81">
        <v>1</v>
      </c>
      <c r="Y75" s="81">
        <v>1</v>
      </c>
      <c r="Z75" s="81">
        <v>1</v>
      </c>
      <c r="AA75" s="81">
        <v>1</v>
      </c>
      <c r="AB75" s="81"/>
      <c r="AC75" s="81"/>
      <c r="AD75" s="77">
        <f t="shared" ref="AD75:AD78" si="44">SUM(K75:R75)</f>
        <v>0</v>
      </c>
      <c r="AE75" s="77">
        <f t="shared" ref="AE75:AE78" si="45">SUM(S75:AA75)</f>
        <v>8</v>
      </c>
      <c r="AF75" s="77">
        <f t="shared" ref="AF75:AF78" si="46">+AE75+AD75</f>
        <v>8</v>
      </c>
    </row>
    <row r="76" spans="1:32" s="60" customFormat="1" hidden="1" x14ac:dyDescent="0.2">
      <c r="A76" s="88" t="s">
        <v>382</v>
      </c>
      <c r="B76" s="142" t="s">
        <v>94</v>
      </c>
      <c r="C76" s="93"/>
      <c r="D76" s="93"/>
      <c r="E76" s="93"/>
      <c r="F76" s="93"/>
      <c r="G76" s="93"/>
      <c r="H76" s="93"/>
      <c r="I76" s="93"/>
      <c r="J76" s="75"/>
      <c r="K76" s="75"/>
      <c r="L76" s="75"/>
      <c r="M76" s="75"/>
      <c r="N76" s="108"/>
      <c r="O76" s="108"/>
      <c r="P76" s="108"/>
      <c r="Q76" s="79"/>
      <c r="R76" s="79"/>
      <c r="S76" s="79"/>
      <c r="T76" s="81">
        <v>1</v>
      </c>
      <c r="U76" s="81">
        <v>1</v>
      </c>
      <c r="V76" s="81">
        <v>1</v>
      </c>
      <c r="W76" s="81">
        <v>1</v>
      </c>
      <c r="X76" s="81">
        <v>1</v>
      </c>
      <c r="Y76" s="81">
        <v>1</v>
      </c>
      <c r="Z76" s="81">
        <v>1</v>
      </c>
      <c r="AA76" s="81">
        <v>1</v>
      </c>
      <c r="AB76" s="81"/>
      <c r="AC76" s="81"/>
      <c r="AD76" s="77"/>
      <c r="AE76" s="77"/>
      <c r="AF76" s="77"/>
    </row>
    <row r="77" spans="1:32" s="60" customFormat="1" hidden="1" x14ac:dyDescent="0.2">
      <c r="A77" s="88" t="s">
        <v>379</v>
      </c>
      <c r="B77" s="142" t="s">
        <v>94</v>
      </c>
      <c r="C77" s="93"/>
      <c r="D77" s="93"/>
      <c r="E77" s="93"/>
      <c r="F77" s="93"/>
      <c r="G77" s="93"/>
      <c r="H77" s="93"/>
      <c r="I77" s="93"/>
      <c r="J77" s="75"/>
      <c r="K77" s="75"/>
      <c r="L77" s="75"/>
      <c r="M77" s="75"/>
      <c r="N77" s="108"/>
      <c r="O77" s="108"/>
      <c r="P77" s="108"/>
      <c r="Q77" s="79"/>
      <c r="R77" s="79"/>
      <c r="S77" s="79"/>
      <c r="T77" s="81">
        <v>1</v>
      </c>
      <c r="U77" s="81">
        <v>1</v>
      </c>
      <c r="V77" s="81">
        <v>1</v>
      </c>
      <c r="W77" s="81">
        <v>1</v>
      </c>
      <c r="X77" s="81">
        <v>1</v>
      </c>
      <c r="Y77" s="81">
        <v>1</v>
      </c>
      <c r="Z77" s="81">
        <v>1</v>
      </c>
      <c r="AA77" s="81">
        <v>1</v>
      </c>
      <c r="AB77" s="81"/>
      <c r="AC77" s="81"/>
      <c r="AD77" s="77"/>
      <c r="AE77" s="77"/>
      <c r="AF77" s="77"/>
    </row>
    <row r="78" spans="1:32" s="60" customFormat="1" hidden="1" x14ac:dyDescent="0.2">
      <c r="A78" s="88" t="s">
        <v>380</v>
      </c>
      <c r="B78" s="142" t="s">
        <v>94</v>
      </c>
      <c r="C78" s="93"/>
      <c r="D78" s="93"/>
      <c r="E78" s="93"/>
      <c r="F78" s="93"/>
      <c r="G78" s="93"/>
      <c r="H78" s="93"/>
      <c r="I78" s="93"/>
      <c r="J78" s="75"/>
      <c r="K78" s="75"/>
      <c r="L78" s="75"/>
      <c r="M78" s="75"/>
      <c r="N78" s="108"/>
      <c r="O78" s="108"/>
      <c r="P78" s="108"/>
      <c r="Q78" s="79"/>
      <c r="R78" s="79"/>
      <c r="S78" s="79"/>
      <c r="T78" s="81">
        <v>1</v>
      </c>
      <c r="U78" s="81">
        <v>1</v>
      </c>
      <c r="V78" s="81">
        <v>1</v>
      </c>
      <c r="W78" s="81">
        <v>1</v>
      </c>
      <c r="X78" s="81">
        <v>1</v>
      </c>
      <c r="Y78" s="81">
        <v>1</v>
      </c>
      <c r="Z78" s="81">
        <v>1</v>
      </c>
      <c r="AA78" s="81">
        <v>1</v>
      </c>
      <c r="AB78" s="81"/>
      <c r="AC78" s="81"/>
      <c r="AD78" s="77">
        <f t="shared" si="44"/>
        <v>0</v>
      </c>
      <c r="AE78" s="77">
        <f t="shared" si="45"/>
        <v>8</v>
      </c>
      <c r="AF78" s="77">
        <f t="shared" si="46"/>
        <v>8</v>
      </c>
    </row>
    <row r="79" spans="1:32" hidden="1" x14ac:dyDescent="0.2">
      <c r="A79" s="86" t="s">
        <v>315</v>
      </c>
      <c r="B79" s="59" t="s">
        <v>304</v>
      </c>
      <c r="C79" s="76">
        <f>SUM(C80:C83)</f>
        <v>0</v>
      </c>
      <c r="D79" s="76"/>
      <c r="E79" s="76"/>
      <c r="F79" s="76"/>
      <c r="G79" s="76"/>
      <c r="H79" s="76"/>
      <c r="I79" s="76">
        <f>SUM(I80:I83)</f>
        <v>0</v>
      </c>
      <c r="J79" s="76"/>
      <c r="K79" s="76">
        <f t="shared" ref="K79:AA79" si="47">SUM(K80:K94)</f>
        <v>0</v>
      </c>
      <c r="L79" s="76">
        <f t="shared" si="47"/>
        <v>0</v>
      </c>
      <c r="M79" s="76">
        <f t="shared" si="47"/>
        <v>0</v>
      </c>
      <c r="N79" s="76">
        <f t="shared" si="47"/>
        <v>0</v>
      </c>
      <c r="O79" s="76">
        <f t="shared" si="47"/>
        <v>0</v>
      </c>
      <c r="P79" s="76">
        <f t="shared" si="47"/>
        <v>0</v>
      </c>
      <c r="Q79" s="76">
        <f t="shared" si="47"/>
        <v>0</v>
      </c>
      <c r="R79" s="76">
        <f t="shared" si="47"/>
        <v>0</v>
      </c>
      <c r="S79" s="76">
        <f t="shared" si="47"/>
        <v>0</v>
      </c>
      <c r="T79" s="76">
        <f t="shared" si="47"/>
        <v>34</v>
      </c>
      <c r="U79" s="76">
        <f t="shared" si="47"/>
        <v>34</v>
      </c>
      <c r="V79" s="76">
        <f t="shared" si="47"/>
        <v>34</v>
      </c>
      <c r="W79" s="76">
        <f t="shared" si="47"/>
        <v>34</v>
      </c>
      <c r="X79" s="76">
        <f t="shared" si="47"/>
        <v>34</v>
      </c>
      <c r="Y79" s="76">
        <f t="shared" si="47"/>
        <v>34</v>
      </c>
      <c r="Z79" s="76">
        <f t="shared" si="47"/>
        <v>34</v>
      </c>
      <c r="AA79" s="76">
        <f t="shared" si="47"/>
        <v>34</v>
      </c>
      <c r="AB79" s="76"/>
      <c r="AC79" s="76"/>
      <c r="AD79" s="76">
        <f>SUM(AD80:AD83)</f>
        <v>0</v>
      </c>
      <c r="AE79" s="76">
        <f>SUM(AE80:AE94)</f>
        <v>160</v>
      </c>
      <c r="AF79" s="76">
        <f>SUM(AF80:AF94)</f>
        <v>160</v>
      </c>
    </row>
    <row r="80" spans="1:32" s="60" customFormat="1" hidden="1" x14ac:dyDescent="0.2">
      <c r="A80" s="88" t="s">
        <v>383</v>
      </c>
      <c r="B80" s="142" t="s">
        <v>94</v>
      </c>
      <c r="C80" s="93"/>
      <c r="D80" s="93"/>
      <c r="E80" s="93"/>
      <c r="F80" s="93"/>
      <c r="G80" s="93"/>
      <c r="H80" s="93"/>
      <c r="I80" s="93"/>
      <c r="J80" s="75"/>
      <c r="K80" s="75"/>
      <c r="L80" s="75"/>
      <c r="M80" s="75"/>
      <c r="N80" s="108"/>
      <c r="O80" s="108"/>
      <c r="P80" s="108"/>
      <c r="Q80" s="79"/>
      <c r="R80" s="79"/>
      <c r="S80" s="79"/>
      <c r="T80" s="81">
        <v>1</v>
      </c>
      <c r="U80" s="81">
        <v>1</v>
      </c>
      <c r="V80" s="81">
        <v>1</v>
      </c>
      <c r="W80" s="81">
        <v>1</v>
      </c>
      <c r="X80" s="81">
        <v>1</v>
      </c>
      <c r="Y80" s="81">
        <v>1</v>
      </c>
      <c r="Z80" s="81">
        <v>1</v>
      </c>
      <c r="AA80" s="81">
        <v>1</v>
      </c>
      <c r="AB80" s="81"/>
      <c r="AC80" s="81"/>
      <c r="AD80" s="77">
        <f t="shared" ref="AD80:AD83" si="48">SUM(K80:R80)</f>
        <v>0</v>
      </c>
      <c r="AE80" s="77">
        <f t="shared" ref="AE80:AE83" si="49">SUM(S80:AA80)</f>
        <v>8</v>
      </c>
      <c r="AF80" s="77">
        <f t="shared" ref="AF80:AF83" si="50">+AE80+AD80</f>
        <v>8</v>
      </c>
    </row>
    <row r="81" spans="1:32" s="60" customFormat="1" hidden="1" x14ac:dyDescent="0.2">
      <c r="A81" s="88" t="s">
        <v>384</v>
      </c>
      <c r="B81" s="142" t="s">
        <v>94</v>
      </c>
      <c r="C81" s="93"/>
      <c r="D81" s="93"/>
      <c r="E81" s="93"/>
      <c r="F81" s="93"/>
      <c r="G81" s="93"/>
      <c r="H81" s="93"/>
      <c r="I81" s="93"/>
      <c r="J81" s="75"/>
      <c r="K81" s="75"/>
      <c r="L81" s="75"/>
      <c r="M81" s="75"/>
      <c r="N81" s="108"/>
      <c r="O81" s="108"/>
      <c r="P81" s="108"/>
      <c r="Q81" s="79"/>
      <c r="R81" s="79"/>
      <c r="S81" s="79"/>
      <c r="T81" s="81">
        <v>1</v>
      </c>
      <c r="U81" s="81">
        <v>1</v>
      </c>
      <c r="V81" s="81">
        <v>1</v>
      </c>
      <c r="W81" s="81">
        <v>1</v>
      </c>
      <c r="X81" s="81">
        <v>1</v>
      </c>
      <c r="Y81" s="81">
        <v>1</v>
      </c>
      <c r="Z81" s="81">
        <v>1</v>
      </c>
      <c r="AA81" s="81">
        <v>1</v>
      </c>
      <c r="AB81" s="81"/>
      <c r="AC81" s="81"/>
      <c r="AD81" s="77"/>
      <c r="AE81" s="77"/>
      <c r="AF81" s="77"/>
    </row>
    <row r="82" spans="1:32" s="60" customFormat="1" hidden="1" x14ac:dyDescent="0.2">
      <c r="A82" s="88" t="s">
        <v>385</v>
      </c>
      <c r="B82" s="142" t="s">
        <v>94</v>
      </c>
      <c r="C82" s="93"/>
      <c r="D82" s="93"/>
      <c r="E82" s="93"/>
      <c r="F82" s="93"/>
      <c r="G82" s="93"/>
      <c r="H82" s="93"/>
      <c r="I82" s="93"/>
      <c r="J82" s="75"/>
      <c r="K82" s="75"/>
      <c r="L82" s="75"/>
      <c r="M82" s="75"/>
      <c r="N82" s="108"/>
      <c r="O82" s="108"/>
      <c r="P82" s="108"/>
      <c r="Q82" s="79"/>
      <c r="R82" s="79"/>
      <c r="S82" s="79"/>
      <c r="T82" s="81">
        <v>1</v>
      </c>
      <c r="U82" s="81">
        <v>1</v>
      </c>
      <c r="V82" s="81">
        <v>1</v>
      </c>
      <c r="W82" s="81">
        <v>1</v>
      </c>
      <c r="X82" s="81">
        <v>1</v>
      </c>
      <c r="Y82" s="81">
        <v>1</v>
      </c>
      <c r="Z82" s="81">
        <v>1</v>
      </c>
      <c r="AA82" s="81">
        <v>1</v>
      </c>
      <c r="AB82" s="81"/>
      <c r="AC82" s="81"/>
      <c r="AD82" s="77"/>
      <c r="AE82" s="77"/>
      <c r="AF82" s="77"/>
    </row>
    <row r="83" spans="1:32" s="60" customFormat="1" hidden="1" x14ac:dyDescent="0.2">
      <c r="A83" s="88" t="s">
        <v>386</v>
      </c>
      <c r="B83" s="142" t="s">
        <v>94</v>
      </c>
      <c r="C83" s="93"/>
      <c r="D83" s="93"/>
      <c r="E83" s="93"/>
      <c r="F83" s="93"/>
      <c r="G83" s="93"/>
      <c r="H83" s="93"/>
      <c r="I83" s="93"/>
      <c r="J83" s="75"/>
      <c r="K83" s="75"/>
      <c r="L83" s="75"/>
      <c r="M83" s="75"/>
      <c r="N83" s="108"/>
      <c r="O83" s="108"/>
      <c r="P83" s="108"/>
      <c r="Q83" s="79"/>
      <c r="R83" s="79"/>
      <c r="S83" s="79"/>
      <c r="T83" s="81">
        <v>1</v>
      </c>
      <c r="U83" s="81">
        <v>1</v>
      </c>
      <c r="V83" s="81">
        <v>1</v>
      </c>
      <c r="W83" s="81">
        <v>1</v>
      </c>
      <c r="X83" s="81">
        <v>1</v>
      </c>
      <c r="Y83" s="81">
        <v>1</v>
      </c>
      <c r="Z83" s="81">
        <v>1</v>
      </c>
      <c r="AA83" s="81">
        <v>1</v>
      </c>
      <c r="AB83" s="81"/>
      <c r="AC83" s="81"/>
      <c r="AD83" s="77">
        <f t="shared" si="48"/>
        <v>0</v>
      </c>
      <c r="AE83" s="77">
        <f t="shared" si="49"/>
        <v>8</v>
      </c>
      <c r="AF83" s="77">
        <f t="shared" si="50"/>
        <v>8</v>
      </c>
    </row>
    <row r="84" spans="1:32" ht="38.25" hidden="1" x14ac:dyDescent="0.2">
      <c r="A84" s="86" t="s">
        <v>316</v>
      </c>
      <c r="B84" s="59" t="s">
        <v>305</v>
      </c>
      <c r="C84" s="76">
        <f>SUM(C85:C87)</f>
        <v>0</v>
      </c>
      <c r="D84" s="76"/>
      <c r="E84" s="76"/>
      <c r="F84" s="76"/>
      <c r="G84" s="76"/>
      <c r="H84" s="76"/>
      <c r="I84" s="76">
        <f>SUM(I85:I87)</f>
        <v>0</v>
      </c>
      <c r="J84" s="76"/>
      <c r="K84" s="76">
        <f t="shared" ref="K84:AA84" si="51">SUM(K85:K94)</f>
        <v>0</v>
      </c>
      <c r="L84" s="76">
        <f t="shared" si="51"/>
        <v>0</v>
      </c>
      <c r="M84" s="76">
        <f t="shared" si="51"/>
        <v>0</v>
      </c>
      <c r="N84" s="76">
        <f t="shared" si="51"/>
        <v>0</v>
      </c>
      <c r="O84" s="76">
        <f t="shared" si="51"/>
        <v>0</v>
      </c>
      <c r="P84" s="76">
        <f t="shared" si="51"/>
        <v>0</v>
      </c>
      <c r="Q84" s="76">
        <f t="shared" si="51"/>
        <v>0</v>
      </c>
      <c r="R84" s="76">
        <f t="shared" si="51"/>
        <v>0</v>
      </c>
      <c r="S84" s="76">
        <f t="shared" si="51"/>
        <v>0</v>
      </c>
      <c r="T84" s="76">
        <f t="shared" si="51"/>
        <v>15</v>
      </c>
      <c r="U84" s="76">
        <f t="shared" si="51"/>
        <v>15</v>
      </c>
      <c r="V84" s="76">
        <f t="shared" si="51"/>
        <v>15</v>
      </c>
      <c r="W84" s="76">
        <f t="shared" si="51"/>
        <v>15</v>
      </c>
      <c r="X84" s="76">
        <f t="shared" si="51"/>
        <v>15</v>
      </c>
      <c r="Y84" s="76">
        <f t="shared" si="51"/>
        <v>15</v>
      </c>
      <c r="Z84" s="76">
        <f t="shared" si="51"/>
        <v>15</v>
      </c>
      <c r="AA84" s="76">
        <f t="shared" si="51"/>
        <v>15</v>
      </c>
      <c r="AB84" s="76"/>
      <c r="AC84" s="76"/>
      <c r="AD84" s="76">
        <f>SUM(AD85:AD87)</f>
        <v>0</v>
      </c>
      <c r="AE84" s="76">
        <f>SUM(AE85:AE94)</f>
        <v>72</v>
      </c>
      <c r="AF84" s="76">
        <f>SUM(AF85:AF94)</f>
        <v>72</v>
      </c>
    </row>
    <row r="85" spans="1:32" s="60" customFormat="1" hidden="1" x14ac:dyDescent="0.2">
      <c r="A85" s="88" t="s">
        <v>387</v>
      </c>
      <c r="B85" s="142" t="s">
        <v>94</v>
      </c>
      <c r="C85" s="93"/>
      <c r="D85" s="93"/>
      <c r="E85" s="93"/>
      <c r="F85" s="93"/>
      <c r="G85" s="93"/>
      <c r="H85" s="93"/>
      <c r="I85" s="93">
        <v>0</v>
      </c>
      <c r="J85" s="75"/>
      <c r="K85" s="75"/>
      <c r="L85" s="75"/>
      <c r="M85" s="75"/>
      <c r="N85" s="108"/>
      <c r="O85" s="108"/>
      <c r="P85" s="108"/>
      <c r="Q85" s="79"/>
      <c r="R85" s="79"/>
      <c r="S85" s="79"/>
      <c r="T85" s="81">
        <v>1</v>
      </c>
      <c r="U85" s="81">
        <v>1</v>
      </c>
      <c r="V85" s="81">
        <v>1</v>
      </c>
      <c r="W85" s="81">
        <v>1</v>
      </c>
      <c r="X85" s="81">
        <v>1</v>
      </c>
      <c r="Y85" s="81">
        <v>1</v>
      </c>
      <c r="Z85" s="81">
        <v>1</v>
      </c>
      <c r="AA85" s="81">
        <v>1</v>
      </c>
      <c r="AB85" s="81"/>
      <c r="AC85" s="81"/>
      <c r="AD85" s="77">
        <f t="shared" ref="AD85:AD87" si="52">SUM(K85:R85)</f>
        <v>0</v>
      </c>
      <c r="AE85" s="77">
        <f t="shared" ref="AE85:AE87" si="53">SUM(S85:AA85)</f>
        <v>8</v>
      </c>
      <c r="AF85" s="77">
        <f t="shared" ref="AF85:AF87" si="54">+AE85+AD85</f>
        <v>8</v>
      </c>
    </row>
    <row r="86" spans="1:32" s="60" customFormat="1" hidden="1" x14ac:dyDescent="0.2">
      <c r="A86" s="88" t="s">
        <v>388</v>
      </c>
      <c r="B86" s="142" t="s">
        <v>94</v>
      </c>
      <c r="C86" s="93"/>
      <c r="D86" s="93"/>
      <c r="E86" s="93"/>
      <c r="F86" s="93"/>
      <c r="G86" s="93"/>
      <c r="H86" s="93"/>
      <c r="I86" s="93"/>
      <c r="J86" s="75"/>
      <c r="K86" s="75"/>
      <c r="L86" s="75"/>
      <c r="M86" s="75"/>
      <c r="N86" s="108"/>
      <c r="O86" s="108"/>
      <c r="P86" s="108"/>
      <c r="Q86" s="79"/>
      <c r="R86" s="79"/>
      <c r="S86" s="79"/>
      <c r="T86" s="81">
        <v>1</v>
      </c>
      <c r="U86" s="81">
        <v>1</v>
      </c>
      <c r="V86" s="81">
        <v>1</v>
      </c>
      <c r="W86" s="81">
        <v>1</v>
      </c>
      <c r="X86" s="81">
        <v>1</v>
      </c>
      <c r="Y86" s="81">
        <v>1</v>
      </c>
      <c r="Z86" s="81">
        <v>1</v>
      </c>
      <c r="AA86" s="81">
        <v>1</v>
      </c>
      <c r="AB86" s="81"/>
      <c r="AC86" s="81"/>
      <c r="AD86" s="77">
        <f t="shared" si="52"/>
        <v>0</v>
      </c>
      <c r="AE86" s="77">
        <f t="shared" si="53"/>
        <v>8</v>
      </c>
      <c r="AF86" s="77">
        <f t="shared" si="54"/>
        <v>8</v>
      </c>
    </row>
    <row r="87" spans="1:32" s="60" customFormat="1" hidden="1" x14ac:dyDescent="0.2">
      <c r="A87" s="88" t="s">
        <v>389</v>
      </c>
      <c r="B87" s="142" t="s">
        <v>94</v>
      </c>
      <c r="C87" s="93"/>
      <c r="D87" s="93"/>
      <c r="E87" s="93"/>
      <c r="F87" s="93"/>
      <c r="G87" s="93"/>
      <c r="H87" s="93"/>
      <c r="I87" s="93"/>
      <c r="J87" s="75"/>
      <c r="K87" s="75"/>
      <c r="L87" s="75"/>
      <c r="M87" s="75"/>
      <c r="N87" s="108"/>
      <c r="O87" s="108"/>
      <c r="P87" s="108"/>
      <c r="Q87" s="79"/>
      <c r="R87" s="79"/>
      <c r="S87" s="79"/>
      <c r="T87" s="81">
        <v>1</v>
      </c>
      <c r="U87" s="81">
        <v>1</v>
      </c>
      <c r="V87" s="81">
        <v>1</v>
      </c>
      <c r="W87" s="81">
        <v>1</v>
      </c>
      <c r="X87" s="81">
        <v>1</v>
      </c>
      <c r="Y87" s="81">
        <v>1</v>
      </c>
      <c r="Z87" s="81">
        <v>1</v>
      </c>
      <c r="AA87" s="81">
        <v>1</v>
      </c>
      <c r="AB87" s="81"/>
      <c r="AC87" s="81"/>
      <c r="AD87" s="77">
        <f t="shared" si="52"/>
        <v>0</v>
      </c>
      <c r="AE87" s="77">
        <f t="shared" si="53"/>
        <v>8</v>
      </c>
      <c r="AF87" s="77">
        <f t="shared" si="54"/>
        <v>8</v>
      </c>
    </row>
    <row r="88" spans="1:32" ht="25.5" hidden="1" x14ac:dyDescent="0.2">
      <c r="A88" s="90">
        <v>3</v>
      </c>
      <c r="B88" s="97" t="s">
        <v>306</v>
      </c>
      <c r="C88" s="82">
        <f ca="1">+C89+C94</f>
        <v>0</v>
      </c>
      <c r="D88" s="82"/>
      <c r="E88" s="82"/>
      <c r="F88" s="82"/>
      <c r="G88" s="82"/>
      <c r="H88" s="82"/>
      <c r="I88" s="82">
        <f ca="1">+I89+I94</f>
        <v>0</v>
      </c>
      <c r="J88" s="82"/>
      <c r="K88" s="82">
        <f t="shared" ref="K88:AF88" si="55">+K89+K94</f>
        <v>0</v>
      </c>
      <c r="L88" s="82">
        <f t="shared" si="55"/>
        <v>0</v>
      </c>
      <c r="M88" s="82">
        <f t="shared" si="55"/>
        <v>0</v>
      </c>
      <c r="N88" s="82">
        <f t="shared" si="55"/>
        <v>0</v>
      </c>
      <c r="O88" s="82">
        <f t="shared" si="55"/>
        <v>0</v>
      </c>
      <c r="P88" s="82">
        <f t="shared" si="55"/>
        <v>0</v>
      </c>
      <c r="Q88" s="82">
        <f t="shared" si="55"/>
        <v>0</v>
      </c>
      <c r="R88" s="82">
        <f t="shared" si="55"/>
        <v>0</v>
      </c>
      <c r="S88" s="82">
        <f t="shared" si="55"/>
        <v>0</v>
      </c>
      <c r="T88" s="82">
        <f t="shared" si="55"/>
        <v>4</v>
      </c>
      <c r="U88" s="82">
        <f t="shared" si="55"/>
        <v>4</v>
      </c>
      <c r="V88" s="82">
        <f t="shared" si="55"/>
        <v>4</v>
      </c>
      <c r="W88" s="82">
        <f t="shared" si="55"/>
        <v>4</v>
      </c>
      <c r="X88" s="82">
        <f t="shared" si="55"/>
        <v>4</v>
      </c>
      <c r="Y88" s="82">
        <f t="shared" si="55"/>
        <v>4</v>
      </c>
      <c r="Z88" s="82">
        <f t="shared" si="55"/>
        <v>4</v>
      </c>
      <c r="AA88" s="82">
        <f t="shared" si="55"/>
        <v>4</v>
      </c>
      <c r="AB88" s="82"/>
      <c r="AC88" s="82"/>
      <c r="AD88" s="82">
        <f t="shared" si="55"/>
        <v>0</v>
      </c>
      <c r="AE88" s="82">
        <f t="shared" si="55"/>
        <v>16</v>
      </c>
      <c r="AF88" s="82">
        <f t="shared" si="55"/>
        <v>16</v>
      </c>
    </row>
    <row r="89" spans="1:32" hidden="1" x14ac:dyDescent="0.2">
      <c r="A89" s="86" t="s">
        <v>162</v>
      </c>
      <c r="B89" s="59" t="s">
        <v>307</v>
      </c>
      <c r="C89" s="76">
        <f ca="1">C90:C93=SUM(C88)</f>
        <v>0</v>
      </c>
      <c r="D89" s="76"/>
      <c r="E89" s="76"/>
      <c r="F89" s="76"/>
      <c r="G89" s="76"/>
      <c r="H89" s="76"/>
      <c r="I89" s="76">
        <f ca="1">I90:I93=SUM(I88)</f>
        <v>0</v>
      </c>
      <c r="J89" s="76"/>
      <c r="K89" s="76">
        <f t="shared" ref="K89:AA89" si="56">SUM(K90:K94)</f>
        <v>0</v>
      </c>
      <c r="L89" s="76">
        <f t="shared" si="56"/>
        <v>0</v>
      </c>
      <c r="M89" s="76">
        <f t="shared" si="56"/>
        <v>0</v>
      </c>
      <c r="N89" s="76">
        <f t="shared" si="56"/>
        <v>0</v>
      </c>
      <c r="O89" s="76">
        <f t="shared" si="56"/>
        <v>0</v>
      </c>
      <c r="P89" s="76">
        <f t="shared" si="56"/>
        <v>0</v>
      </c>
      <c r="Q89" s="76">
        <f t="shared" si="56"/>
        <v>0</v>
      </c>
      <c r="R89" s="76">
        <f t="shared" si="56"/>
        <v>0</v>
      </c>
      <c r="S89" s="76">
        <f t="shared" si="56"/>
        <v>0</v>
      </c>
      <c r="T89" s="76">
        <f t="shared" si="56"/>
        <v>4</v>
      </c>
      <c r="U89" s="76">
        <f t="shared" si="56"/>
        <v>4</v>
      </c>
      <c r="V89" s="76">
        <f t="shared" si="56"/>
        <v>4</v>
      </c>
      <c r="W89" s="76">
        <f t="shared" si="56"/>
        <v>4</v>
      </c>
      <c r="X89" s="76">
        <f t="shared" si="56"/>
        <v>4</v>
      </c>
      <c r="Y89" s="76">
        <f t="shared" si="56"/>
        <v>4</v>
      </c>
      <c r="Z89" s="76">
        <f t="shared" si="56"/>
        <v>4</v>
      </c>
      <c r="AA89" s="76">
        <f t="shared" si="56"/>
        <v>4</v>
      </c>
      <c r="AB89" s="76"/>
      <c r="AC89" s="76"/>
      <c r="AD89" s="76">
        <f>SUM(AD90:AD93)</f>
        <v>0</v>
      </c>
      <c r="AE89" s="76">
        <f>SUM(AE90:AE94)</f>
        <v>16</v>
      </c>
      <c r="AF89" s="76">
        <f>SUM(AF90:AF94)</f>
        <v>16</v>
      </c>
    </row>
    <row r="90" spans="1:32" s="60" customFormat="1" hidden="1" x14ac:dyDescent="0.2">
      <c r="A90" s="88" t="s">
        <v>390</v>
      </c>
      <c r="B90" s="142" t="s">
        <v>94</v>
      </c>
      <c r="C90" s="93"/>
      <c r="D90" s="93"/>
      <c r="E90" s="93"/>
      <c r="F90" s="93"/>
      <c r="G90" s="93"/>
      <c r="H90" s="93"/>
      <c r="I90" s="93"/>
      <c r="J90" s="75"/>
      <c r="K90" s="75"/>
      <c r="L90" s="75"/>
      <c r="M90" s="75"/>
      <c r="N90" s="108"/>
      <c r="O90" s="108"/>
      <c r="P90" s="108"/>
      <c r="Q90" s="79"/>
      <c r="R90" s="79"/>
      <c r="S90" s="79"/>
      <c r="T90" s="81">
        <v>1</v>
      </c>
      <c r="U90" s="81">
        <v>1</v>
      </c>
      <c r="V90" s="81">
        <v>1</v>
      </c>
      <c r="W90" s="81">
        <v>1</v>
      </c>
      <c r="X90" s="81">
        <v>1</v>
      </c>
      <c r="Y90" s="81">
        <v>1</v>
      </c>
      <c r="Z90" s="81">
        <v>1</v>
      </c>
      <c r="AA90" s="81">
        <v>1</v>
      </c>
      <c r="AB90" s="81"/>
      <c r="AC90" s="81"/>
      <c r="AD90" s="77">
        <f t="shared" ref="AD90:AD93" si="57">SUM(K90:R90)</f>
        <v>0</v>
      </c>
      <c r="AE90" s="77">
        <f t="shared" ref="AE90:AE93" si="58">SUM(S90:AA90)</f>
        <v>8</v>
      </c>
      <c r="AF90" s="77">
        <f t="shared" ref="AF90:AF93" si="59">+AE90+AD90</f>
        <v>8</v>
      </c>
    </row>
    <row r="91" spans="1:32" s="60" customFormat="1" hidden="1" x14ac:dyDescent="0.2">
      <c r="A91" s="88" t="s">
        <v>391</v>
      </c>
      <c r="B91" s="142" t="s">
        <v>94</v>
      </c>
      <c r="C91" s="93"/>
      <c r="D91" s="93"/>
      <c r="E91" s="93"/>
      <c r="F91" s="93"/>
      <c r="G91" s="93"/>
      <c r="H91" s="93"/>
      <c r="I91" s="93"/>
      <c r="J91" s="75"/>
      <c r="K91" s="75"/>
      <c r="L91" s="75"/>
      <c r="M91" s="75"/>
      <c r="N91" s="108"/>
      <c r="O91" s="108"/>
      <c r="P91" s="108"/>
      <c r="Q91" s="79"/>
      <c r="R91" s="79"/>
      <c r="S91" s="79"/>
      <c r="T91" s="81">
        <v>1</v>
      </c>
      <c r="U91" s="81">
        <v>1</v>
      </c>
      <c r="V91" s="81">
        <v>1</v>
      </c>
      <c r="W91" s="81">
        <v>1</v>
      </c>
      <c r="X91" s="81">
        <v>1</v>
      </c>
      <c r="Y91" s="81">
        <v>1</v>
      </c>
      <c r="Z91" s="81">
        <v>1</v>
      </c>
      <c r="AA91" s="81">
        <v>1</v>
      </c>
      <c r="AB91" s="81"/>
      <c r="AC91" s="81"/>
      <c r="AD91" s="77"/>
      <c r="AE91" s="77"/>
      <c r="AF91" s="77"/>
    </row>
    <row r="92" spans="1:32" s="60" customFormat="1" hidden="1" x14ac:dyDescent="0.2">
      <c r="A92" s="88" t="s">
        <v>392</v>
      </c>
      <c r="B92" s="142" t="s">
        <v>94</v>
      </c>
      <c r="C92" s="93"/>
      <c r="D92" s="93"/>
      <c r="E92" s="93"/>
      <c r="F92" s="93"/>
      <c r="G92" s="93"/>
      <c r="H92" s="93"/>
      <c r="I92" s="93"/>
      <c r="J92" s="75"/>
      <c r="K92" s="75"/>
      <c r="L92" s="75"/>
      <c r="M92" s="75"/>
      <c r="N92" s="108"/>
      <c r="O92" s="108"/>
      <c r="P92" s="108"/>
      <c r="Q92" s="79"/>
      <c r="R92" s="79"/>
      <c r="S92" s="79"/>
      <c r="T92" s="81">
        <v>1</v>
      </c>
      <c r="U92" s="81">
        <v>1</v>
      </c>
      <c r="V92" s="81">
        <v>1</v>
      </c>
      <c r="W92" s="81">
        <v>1</v>
      </c>
      <c r="X92" s="81">
        <v>1</v>
      </c>
      <c r="Y92" s="81">
        <v>1</v>
      </c>
      <c r="Z92" s="81">
        <v>1</v>
      </c>
      <c r="AA92" s="81">
        <v>1</v>
      </c>
      <c r="AB92" s="81"/>
      <c r="AC92" s="81"/>
      <c r="AD92" s="77"/>
      <c r="AE92" s="77"/>
      <c r="AF92" s="77"/>
    </row>
    <row r="93" spans="1:32" s="60" customFormat="1" hidden="1" x14ac:dyDescent="0.2">
      <c r="A93" s="88" t="s">
        <v>393</v>
      </c>
      <c r="B93" s="142" t="s">
        <v>94</v>
      </c>
      <c r="C93" s="93"/>
      <c r="D93" s="93"/>
      <c r="E93" s="93"/>
      <c r="F93" s="93"/>
      <c r="G93" s="93"/>
      <c r="H93" s="93"/>
      <c r="I93" s="93"/>
      <c r="J93" s="75"/>
      <c r="K93" s="75"/>
      <c r="L93" s="75"/>
      <c r="M93" s="75"/>
      <c r="N93" s="108"/>
      <c r="O93" s="108"/>
      <c r="P93" s="108"/>
      <c r="Q93" s="79"/>
      <c r="R93" s="79"/>
      <c r="S93" s="79"/>
      <c r="T93" s="81">
        <v>1</v>
      </c>
      <c r="U93" s="81">
        <v>1</v>
      </c>
      <c r="V93" s="81">
        <v>1</v>
      </c>
      <c r="W93" s="81">
        <v>1</v>
      </c>
      <c r="X93" s="81">
        <v>1</v>
      </c>
      <c r="Y93" s="81">
        <v>1</v>
      </c>
      <c r="Z93" s="81">
        <v>1</v>
      </c>
      <c r="AA93" s="81">
        <v>1</v>
      </c>
      <c r="AB93" s="81"/>
      <c r="AC93" s="81"/>
      <c r="AD93" s="77">
        <f t="shared" si="57"/>
        <v>0</v>
      </c>
      <c r="AE93" s="77">
        <f t="shared" si="58"/>
        <v>8</v>
      </c>
      <c r="AF93" s="77">
        <f t="shared" si="59"/>
        <v>8</v>
      </c>
    </row>
    <row r="94" spans="1:32" s="60" customFormat="1" hidden="1" x14ac:dyDescent="0.2">
      <c r="A94" s="86" t="s">
        <v>163</v>
      </c>
      <c r="B94" s="59" t="s">
        <v>308</v>
      </c>
      <c r="C94" s="76">
        <v>0</v>
      </c>
      <c r="D94" s="76"/>
      <c r="E94" s="76"/>
      <c r="F94" s="76"/>
      <c r="G94" s="76"/>
      <c r="H94" s="76"/>
      <c r="I94" s="76">
        <v>0</v>
      </c>
      <c r="J94" s="76"/>
      <c r="K94" s="76"/>
      <c r="L94" s="76"/>
      <c r="M94" s="76"/>
      <c r="N94" s="76"/>
      <c r="O94" s="76"/>
      <c r="P94" s="76"/>
      <c r="Q94" s="76"/>
      <c r="R94" s="76"/>
      <c r="S94" s="76"/>
      <c r="T94" s="76"/>
      <c r="U94" s="76"/>
      <c r="V94" s="76"/>
      <c r="W94" s="76"/>
      <c r="X94" s="76"/>
      <c r="Y94" s="76"/>
      <c r="Z94" s="76"/>
      <c r="AA94" s="76"/>
      <c r="AB94" s="76"/>
      <c r="AC94" s="76"/>
      <c r="AD94" s="76"/>
      <c r="AE94" s="76"/>
      <c r="AF94" s="76"/>
    </row>
    <row r="95" spans="1:32" ht="25.5" hidden="1" x14ac:dyDescent="0.2">
      <c r="A95" s="139">
        <v>4</v>
      </c>
      <c r="B95" s="97" t="s">
        <v>317</v>
      </c>
      <c r="C95" s="82">
        <f>+C96+C97</f>
        <v>0</v>
      </c>
      <c r="D95" s="82"/>
      <c r="E95" s="82"/>
      <c r="F95" s="82"/>
      <c r="G95" s="82"/>
      <c r="H95" s="82"/>
      <c r="I95" s="82">
        <f>+I96+I97</f>
        <v>0</v>
      </c>
      <c r="J95" s="82"/>
      <c r="K95" s="82">
        <f t="shared" ref="K95:AA95" si="60">+K96+K97</f>
        <v>0</v>
      </c>
      <c r="L95" s="82">
        <f t="shared" si="60"/>
        <v>0</v>
      </c>
      <c r="M95" s="82">
        <f t="shared" si="60"/>
        <v>0</v>
      </c>
      <c r="N95" s="82">
        <f t="shared" si="60"/>
        <v>0</v>
      </c>
      <c r="O95" s="82">
        <f t="shared" si="60"/>
        <v>0</v>
      </c>
      <c r="P95" s="82">
        <f t="shared" si="60"/>
        <v>0</v>
      </c>
      <c r="Q95" s="82">
        <f t="shared" si="60"/>
        <v>0</v>
      </c>
      <c r="R95" s="82">
        <f t="shared" si="60"/>
        <v>0</v>
      </c>
      <c r="S95" s="82">
        <f t="shared" si="60"/>
        <v>0</v>
      </c>
      <c r="T95" s="82">
        <f t="shared" si="60"/>
        <v>0</v>
      </c>
      <c r="U95" s="82">
        <f t="shared" si="60"/>
        <v>0</v>
      </c>
      <c r="V95" s="82">
        <f t="shared" si="60"/>
        <v>0</v>
      </c>
      <c r="W95" s="82">
        <f t="shared" si="60"/>
        <v>0</v>
      </c>
      <c r="X95" s="82">
        <f t="shared" si="60"/>
        <v>0</v>
      </c>
      <c r="Y95" s="82">
        <f t="shared" si="60"/>
        <v>0</v>
      </c>
      <c r="Z95" s="82">
        <f t="shared" si="60"/>
        <v>0</v>
      </c>
      <c r="AA95" s="82">
        <f t="shared" si="60"/>
        <v>0</v>
      </c>
      <c r="AB95" s="82"/>
      <c r="AC95" s="82"/>
      <c r="AD95" s="82">
        <f>+AD96+AD97</f>
        <v>0</v>
      </c>
      <c r="AE95" s="82">
        <f>+AE96+AE97</f>
        <v>0</v>
      </c>
      <c r="AF95" s="82">
        <f t="shared" ref="AF95" si="61">SUM(AF96:AF97)</f>
        <v>0</v>
      </c>
    </row>
    <row r="96" spans="1:32" hidden="1" x14ac:dyDescent="0.2">
      <c r="A96" s="139"/>
      <c r="B96" s="59" t="s">
        <v>318</v>
      </c>
      <c r="C96" s="76">
        <v>0</v>
      </c>
      <c r="D96" s="76"/>
      <c r="E96" s="76"/>
      <c r="F96" s="76"/>
      <c r="G96" s="76"/>
      <c r="H96" s="76"/>
      <c r="I96" s="76">
        <v>0</v>
      </c>
      <c r="J96" s="59"/>
      <c r="K96" s="59"/>
      <c r="L96" s="59"/>
      <c r="M96" s="59"/>
      <c r="N96" s="59"/>
      <c r="O96" s="59"/>
      <c r="P96" s="59"/>
      <c r="Q96" s="59"/>
      <c r="R96" s="59"/>
      <c r="S96" s="59"/>
      <c r="T96" s="59"/>
      <c r="U96" s="59"/>
      <c r="V96" s="59"/>
      <c r="W96" s="59"/>
      <c r="X96" s="59"/>
      <c r="Y96" s="59"/>
      <c r="Z96" s="59"/>
      <c r="AA96" s="59"/>
      <c r="AB96" s="59"/>
      <c r="AC96" s="59"/>
      <c r="AD96" s="59"/>
      <c r="AE96" s="59"/>
      <c r="AF96" s="59"/>
    </row>
    <row r="97" spans="1:34" hidden="1" x14ac:dyDescent="0.2">
      <c r="A97" s="139"/>
      <c r="B97" s="59" t="s">
        <v>319</v>
      </c>
      <c r="C97" s="76">
        <v>0</v>
      </c>
      <c r="D97" s="76"/>
      <c r="E97" s="76"/>
      <c r="F97" s="76"/>
      <c r="G97" s="76"/>
      <c r="H97" s="76"/>
      <c r="I97" s="76">
        <v>0</v>
      </c>
      <c r="J97" s="59"/>
      <c r="K97" s="59"/>
      <c r="L97" s="59"/>
      <c r="M97" s="59"/>
      <c r="N97" s="59"/>
      <c r="O97" s="59"/>
      <c r="P97" s="59"/>
      <c r="Q97" s="59"/>
      <c r="R97" s="59"/>
      <c r="S97" s="59"/>
      <c r="T97" s="59"/>
      <c r="U97" s="59"/>
      <c r="V97" s="59"/>
      <c r="W97" s="59"/>
      <c r="X97" s="59"/>
      <c r="Y97" s="59"/>
      <c r="Z97" s="59"/>
      <c r="AA97" s="59"/>
      <c r="AB97" s="59"/>
      <c r="AC97" s="59"/>
      <c r="AD97" s="59"/>
      <c r="AE97" s="59"/>
      <c r="AF97" s="59"/>
    </row>
    <row r="98" spans="1:34" ht="13.5" thickBot="1" x14ac:dyDescent="0.25">
      <c r="A98" s="137"/>
      <c r="B98" s="99" t="s">
        <v>0</v>
      </c>
      <c r="C98" s="96">
        <f ca="1">+C95+C88+C30+C8</f>
        <v>0</v>
      </c>
      <c r="D98" s="96"/>
      <c r="E98" s="96"/>
      <c r="F98" s="96"/>
      <c r="G98" s="96"/>
      <c r="H98" s="96"/>
      <c r="I98" s="96">
        <f t="shared" ref="I98:AF98" ca="1" si="62">+I95+I88+I30+I8</f>
        <v>0</v>
      </c>
      <c r="J98" s="96">
        <f t="shared" si="62"/>
        <v>0</v>
      </c>
      <c r="K98" s="96">
        <f t="shared" si="62"/>
        <v>3</v>
      </c>
      <c r="L98" s="96">
        <f t="shared" si="62"/>
        <v>4</v>
      </c>
      <c r="M98" s="96">
        <f t="shared" si="62"/>
        <v>5</v>
      </c>
      <c r="N98" s="96">
        <f t="shared" si="62"/>
        <v>5</v>
      </c>
      <c r="O98" s="96">
        <f t="shared" si="62"/>
        <v>6</v>
      </c>
      <c r="P98" s="96">
        <f t="shared" si="62"/>
        <v>6</v>
      </c>
      <c r="Q98" s="96">
        <f t="shared" si="62"/>
        <v>4</v>
      </c>
      <c r="R98" s="96">
        <f t="shared" si="62"/>
        <v>5</v>
      </c>
      <c r="S98" s="96">
        <f t="shared" si="62"/>
        <v>9</v>
      </c>
      <c r="T98" s="96">
        <f t="shared" si="62"/>
        <v>584</v>
      </c>
      <c r="U98" s="96">
        <f t="shared" si="62"/>
        <v>586</v>
      </c>
      <c r="V98" s="96">
        <f t="shared" si="62"/>
        <v>585</v>
      </c>
      <c r="W98" s="96">
        <f t="shared" si="62"/>
        <v>584</v>
      </c>
      <c r="X98" s="96">
        <f t="shared" si="62"/>
        <v>584</v>
      </c>
      <c r="Y98" s="96">
        <f t="shared" si="62"/>
        <v>583</v>
      </c>
      <c r="Z98" s="96">
        <f t="shared" si="62"/>
        <v>581</v>
      </c>
      <c r="AA98" s="96">
        <f t="shared" si="62"/>
        <v>580</v>
      </c>
      <c r="AB98" s="96"/>
      <c r="AC98" s="96"/>
      <c r="AD98" s="96">
        <f t="shared" si="62"/>
        <v>45</v>
      </c>
      <c r="AE98" s="96">
        <f t="shared" si="62"/>
        <v>2784</v>
      </c>
      <c r="AF98" s="96">
        <f t="shared" si="62"/>
        <v>2829</v>
      </c>
    </row>
    <row r="99" spans="1:34" s="147" customFormat="1" x14ac:dyDescent="0.2">
      <c r="A99" s="149"/>
      <c r="B99" s="150"/>
      <c r="C99" s="151"/>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row>
    <row r="100" spans="1:34" ht="39" customHeight="1" x14ac:dyDescent="0.2">
      <c r="A100" s="61"/>
      <c r="B100" s="152" t="s">
        <v>333</v>
      </c>
      <c r="C100" s="63"/>
      <c r="D100" s="63"/>
      <c r="E100" s="63"/>
      <c r="F100" s="63"/>
      <c r="G100" s="63"/>
      <c r="H100" s="63"/>
      <c r="I100" s="63"/>
      <c r="J100" s="63"/>
      <c r="K100" s="64"/>
      <c r="L100" s="64"/>
      <c r="M100" s="64"/>
      <c r="N100" s="64"/>
      <c r="O100" s="64"/>
      <c r="P100" s="64"/>
      <c r="Q100" s="64"/>
      <c r="R100" s="64"/>
      <c r="S100" s="64"/>
      <c r="T100" s="64"/>
      <c r="U100" s="64"/>
      <c r="V100" s="64"/>
      <c r="W100" s="64"/>
      <c r="X100" s="64"/>
      <c r="Y100" s="64"/>
      <c r="Z100" s="64"/>
      <c r="AA100" s="64"/>
      <c r="AB100" s="64"/>
      <c r="AC100" s="64"/>
      <c r="AD100" s="64"/>
      <c r="AE100" s="64"/>
      <c r="AH100" s="65"/>
    </row>
    <row r="101" spans="1:34" ht="24.75" customHeight="1" x14ac:dyDescent="0.2">
      <c r="A101" s="50"/>
      <c r="B101" s="153" t="s">
        <v>1</v>
      </c>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5"/>
      <c r="AG101" s="65"/>
      <c r="AH101" s="65"/>
    </row>
    <row r="102" spans="1:34" ht="26.25" customHeight="1" x14ac:dyDescent="0.2">
      <c r="A102" s="50"/>
      <c r="B102" s="154" t="s">
        <v>334</v>
      </c>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4"/>
      <c r="AE102" s="64"/>
    </row>
    <row r="103" spans="1:34" ht="42" customHeight="1" x14ac:dyDescent="0.2">
      <c r="B103" s="156" t="s">
        <v>341</v>
      </c>
      <c r="C103" s="69"/>
      <c r="D103" s="69"/>
      <c r="E103" s="69"/>
      <c r="F103" s="69"/>
      <c r="G103" s="69"/>
      <c r="H103" s="69"/>
      <c r="I103" s="69"/>
      <c r="J103" s="69"/>
      <c r="K103" s="69"/>
      <c r="L103" s="69"/>
      <c r="M103" s="69"/>
      <c r="N103" s="69"/>
      <c r="AE103" s="65"/>
      <c r="AF103" s="65"/>
      <c r="AG103" s="65"/>
    </row>
    <row r="104" spans="1:34" x14ac:dyDescent="0.2">
      <c r="C104" s="157"/>
      <c r="D104" s="157"/>
      <c r="E104" s="157"/>
      <c r="F104" s="157"/>
      <c r="G104" s="157"/>
      <c r="H104" s="157"/>
      <c r="I104" s="157"/>
      <c r="J104" s="69"/>
      <c r="M104" s="65"/>
      <c r="N104" s="65"/>
      <c r="AD104" s="65"/>
      <c r="AE104" s="65"/>
    </row>
    <row r="105" spans="1:34" x14ac:dyDescent="0.2">
      <c r="C105" s="158"/>
      <c r="D105" s="158"/>
      <c r="E105" s="158"/>
      <c r="F105" s="158"/>
      <c r="G105" s="158"/>
      <c r="H105" s="158"/>
      <c r="I105" s="158"/>
      <c r="J105" s="158"/>
      <c r="AA105" s="70"/>
      <c r="AB105" s="70"/>
      <c r="AC105" s="70"/>
    </row>
    <row r="106" spans="1:34" x14ac:dyDescent="0.2">
      <c r="C106" s="69"/>
      <c r="D106" s="69"/>
      <c r="E106" s="69"/>
      <c r="F106" s="69"/>
      <c r="G106" s="69"/>
      <c r="H106" s="69"/>
      <c r="I106" s="69"/>
      <c r="J106" s="69"/>
      <c r="M106" s="65"/>
      <c r="AA106" s="70"/>
      <c r="AB106" s="70"/>
      <c r="AC106" s="70"/>
      <c r="AD106" s="65"/>
    </row>
    <row r="107" spans="1:34" x14ac:dyDescent="0.2">
      <c r="C107" s="69"/>
      <c r="D107" s="69"/>
      <c r="E107" s="69"/>
      <c r="F107" s="69"/>
      <c r="G107" s="69"/>
      <c r="H107" s="69"/>
      <c r="I107" s="69"/>
      <c r="J107" s="69"/>
      <c r="N107" s="65"/>
      <c r="AA107" s="70"/>
      <c r="AB107" s="70"/>
      <c r="AC107" s="70"/>
      <c r="AD107" s="65"/>
    </row>
    <row r="108" spans="1:34" x14ac:dyDescent="0.2">
      <c r="C108" s="69"/>
      <c r="D108" s="69"/>
      <c r="E108" s="69"/>
      <c r="F108" s="69"/>
      <c r="G108" s="69"/>
      <c r="H108" s="69"/>
      <c r="I108" s="69"/>
      <c r="J108" s="69"/>
    </row>
    <row r="109" spans="1:34" x14ac:dyDescent="0.2">
      <c r="C109" s="69"/>
      <c r="D109" s="69"/>
      <c r="E109" s="69"/>
      <c r="F109" s="69"/>
      <c r="G109" s="69"/>
      <c r="H109" s="69"/>
      <c r="I109" s="69"/>
      <c r="J109" s="69"/>
    </row>
    <row r="110" spans="1:34" x14ac:dyDescent="0.2">
      <c r="C110" s="69"/>
      <c r="D110" s="69"/>
      <c r="E110" s="69"/>
      <c r="F110" s="69"/>
      <c r="G110" s="69"/>
      <c r="H110" s="69"/>
      <c r="I110" s="69"/>
      <c r="J110" s="69"/>
    </row>
    <row r="111" spans="1:34" x14ac:dyDescent="0.2">
      <c r="C111" s="69"/>
      <c r="D111" s="69"/>
      <c r="E111" s="69"/>
      <c r="F111" s="69"/>
      <c r="G111" s="69"/>
      <c r="H111" s="69"/>
      <c r="I111" s="69"/>
      <c r="J111" s="69"/>
    </row>
  </sheetData>
  <customSheetViews>
    <customSheetView guid="{23569F49-FBC0-4F47-9C51-282C545B103D}" scale="85" showPageBreaks="1" fitToPage="1" printArea="1" hiddenRows="1" state="hidden" topLeftCell="A7">
      <selection activeCell="B9" sqref="B9:C98"/>
      <pageMargins left="0.7" right="0.7" top="0.75" bottom="0.75" header="0.3" footer="0.3"/>
      <pageSetup paperSize="9" scale="37" fitToHeight="0" orientation="landscape" horizontalDpi="4294967295" verticalDpi="4294967295" r:id="rId1"/>
    </customSheetView>
    <customSheetView guid="{D80C08F4-E264-4AD6-98CE-CE2933253099}" scale="85" showPageBreaks="1" fitToPage="1" printArea="1" hiddenRows="1" state="hidden" topLeftCell="A7">
      <selection activeCell="B9" sqref="B9:C98"/>
      <pageMargins left="0.7" right="0.7" top="0.75" bottom="0.75" header="0.3" footer="0.3"/>
      <pageSetup paperSize="9" scale="37" fitToHeight="0" orientation="landscape" horizontalDpi="4294967295" verticalDpi="4294967295" r:id="rId2"/>
    </customSheetView>
    <customSheetView guid="{93ADF27F-9A18-4647-82B7-CE6A8B02AE32}" scale="85" showPageBreaks="1" fitToPage="1" printArea="1" hiddenRows="1" state="hidden" topLeftCell="A7">
      <selection activeCell="B9" sqref="B9:C98"/>
      <pageMargins left="0.7" right="0.7" top="0.75" bottom="0.75" header="0.3" footer="0.3"/>
      <pageSetup paperSize="9" scale="36" fitToHeight="0" orientation="landscape" horizontalDpi="4294967295" verticalDpi="4294967295" r:id="rId3"/>
    </customSheetView>
    <customSheetView guid="{CDD4CC9E-6119-4CA0-8931-C42027CB6312}" scale="85" fitToPage="1" hiddenRows="1" state="hidden" topLeftCell="A7">
      <selection activeCell="B9" sqref="B9:C98"/>
      <pageMargins left="0.7" right="0.7" top="0.75" bottom="0.75" header="0.3" footer="0.3"/>
      <pageSetup paperSize="9" scale="37" fitToHeight="0" orientation="landscape" horizontalDpi="4294967295" verticalDpi="4294967295" r:id="rId4"/>
    </customSheetView>
    <customSheetView guid="{6AEDB835-43F0-481E-A780-2C561C644D12}" scale="85" showPageBreaks="1" fitToPage="1" printArea="1" hiddenRows="1" state="hidden" topLeftCell="A7">
      <selection activeCell="B9" sqref="B9:C98"/>
      <pageMargins left="0.7" right="0.7" top="0.75" bottom="0.75" header="0.3" footer="0.3"/>
      <pageSetup paperSize="9" scale="37" fitToHeight="0" orientation="landscape" horizontalDpi="4294967295" verticalDpi="4294967295" r:id="rId5"/>
    </customSheetView>
    <customSheetView guid="{7E7CA3FB-6FDA-4256-BB02-7B4FCCA3FFF0}" scale="85" showPageBreaks="1" fitToPage="1" printArea="1" hiddenRows="1" state="hidden" topLeftCell="A7">
      <selection activeCell="B9" sqref="B9:C98"/>
      <pageMargins left="0.7" right="0.7" top="0.75" bottom="0.75" header="0.3" footer="0.3"/>
      <pageSetup paperSize="9" scale="37" fitToHeight="0" orientation="landscape" horizontalDpi="4294967295" verticalDpi="4294967295" r:id="rId6"/>
    </customSheetView>
  </customSheetViews>
  <mergeCells count="7">
    <mergeCell ref="K5:AF5"/>
    <mergeCell ref="C5:I5"/>
    <mergeCell ref="G6:I6"/>
    <mergeCell ref="F6:F7"/>
    <mergeCell ref="E6:E7"/>
    <mergeCell ref="D6:D7"/>
    <mergeCell ref="C6:C7"/>
  </mergeCells>
  <pageMargins left="0.7" right="0.7" top="0.75" bottom="0.75" header="0.3" footer="0.3"/>
  <pageSetup paperSize="9" scale="37" fitToHeight="0" orientation="landscape" horizontalDpi="4294967295" verticalDpi="4294967295" r:id="rId7"/>
  <legacy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5"/>
  <sheetViews>
    <sheetView workbookViewId="0">
      <selection activeCell="C22" sqref="C22"/>
    </sheetView>
  </sheetViews>
  <sheetFormatPr baseColWidth="10" defaultColWidth="9.140625" defaultRowHeight="12.75" x14ac:dyDescent="0.2"/>
  <cols>
    <col min="3" max="3" width="15.42578125" customWidth="1"/>
    <col min="4" max="4" width="16.28515625" customWidth="1"/>
    <col min="7" max="7" width="15.42578125" customWidth="1"/>
    <col min="8" max="8" width="13.42578125" customWidth="1"/>
    <col min="12" max="12" width="11" customWidth="1"/>
    <col min="13" max="13" width="13.5703125" customWidth="1"/>
  </cols>
  <sheetData>
    <row r="1" spans="1:13" x14ac:dyDescent="0.2">
      <c r="A1" s="345" t="s">
        <v>100</v>
      </c>
      <c r="B1" s="345"/>
      <c r="C1" s="345"/>
      <c r="D1" s="345"/>
      <c r="E1" s="345"/>
      <c r="F1" s="345"/>
      <c r="G1" s="345"/>
      <c r="H1" s="345"/>
      <c r="I1" s="345"/>
      <c r="J1" s="345"/>
      <c r="K1" s="345"/>
      <c r="L1" s="345"/>
      <c r="M1" s="345"/>
    </row>
    <row r="2" spans="1:13" ht="13.5" thickBot="1" x14ac:dyDescent="0.25"/>
    <row r="3" spans="1:13" x14ac:dyDescent="0.2">
      <c r="A3" s="353" t="s">
        <v>88</v>
      </c>
      <c r="B3" s="356" t="s">
        <v>89</v>
      </c>
      <c r="C3" s="359" t="s">
        <v>90</v>
      </c>
      <c r="D3" s="359" t="s">
        <v>91</v>
      </c>
      <c r="E3" s="362" t="s">
        <v>92</v>
      </c>
      <c r="F3" s="363"/>
      <c r="G3" s="366" t="s">
        <v>93</v>
      </c>
      <c r="H3" s="367"/>
      <c r="I3" s="367"/>
      <c r="J3" s="367"/>
      <c r="K3" s="367"/>
      <c r="L3" s="367"/>
      <c r="M3" s="368"/>
    </row>
    <row r="4" spans="1:13" ht="12.75" customHeight="1" x14ac:dyDescent="0.2">
      <c r="A4" s="354"/>
      <c r="B4" s="357"/>
      <c r="C4" s="360"/>
      <c r="D4" s="360"/>
      <c r="E4" s="364"/>
      <c r="F4" s="365"/>
      <c r="G4" s="369" t="s">
        <v>94</v>
      </c>
      <c r="H4" s="371" t="s">
        <v>95</v>
      </c>
      <c r="I4" s="373" t="s">
        <v>96</v>
      </c>
      <c r="J4" s="351" t="s">
        <v>97</v>
      </c>
      <c r="K4" s="349" t="s">
        <v>99</v>
      </c>
      <c r="L4" s="349"/>
      <c r="M4" s="350"/>
    </row>
    <row r="5" spans="1:13" ht="42" customHeight="1" x14ac:dyDescent="0.2">
      <c r="A5" s="355"/>
      <c r="B5" s="358"/>
      <c r="C5" s="361"/>
      <c r="D5" s="361"/>
      <c r="E5" s="37" t="s">
        <v>5</v>
      </c>
      <c r="F5" s="44" t="s">
        <v>98</v>
      </c>
      <c r="G5" s="370"/>
      <c r="H5" s="372"/>
      <c r="I5" s="374"/>
      <c r="J5" s="352"/>
      <c r="K5" s="349"/>
      <c r="L5" s="349"/>
      <c r="M5" s="350"/>
    </row>
    <row r="6" spans="1:13" ht="21" customHeight="1" x14ac:dyDescent="0.2">
      <c r="A6" s="41"/>
      <c r="B6" s="41"/>
      <c r="C6" s="39"/>
      <c r="D6" s="39"/>
      <c r="E6" s="42"/>
      <c r="F6" s="45"/>
      <c r="G6" s="46"/>
      <c r="H6" s="38"/>
      <c r="I6" s="40"/>
      <c r="J6" s="40"/>
      <c r="K6" s="346"/>
      <c r="L6" s="347"/>
      <c r="M6" s="348"/>
    </row>
    <row r="7" spans="1:13" x14ac:dyDescent="0.2">
      <c r="A7" s="41"/>
      <c r="B7" s="41"/>
      <c r="C7" s="39"/>
      <c r="D7" s="39"/>
      <c r="E7" s="42"/>
      <c r="F7" s="45"/>
      <c r="G7" s="46"/>
      <c r="H7" s="38"/>
      <c r="I7" s="40"/>
      <c r="J7" s="40"/>
      <c r="K7" s="346"/>
      <c r="L7" s="347"/>
      <c r="M7" s="348"/>
    </row>
    <row r="8" spans="1:13" x14ac:dyDescent="0.2">
      <c r="A8" s="41"/>
      <c r="B8" s="41"/>
      <c r="C8" s="39"/>
      <c r="D8" s="39"/>
      <c r="E8" s="42"/>
      <c r="F8" s="45"/>
      <c r="G8" s="46"/>
      <c r="H8" s="38"/>
      <c r="I8" s="40"/>
      <c r="J8" s="40"/>
      <c r="K8" s="346"/>
      <c r="L8" s="347"/>
      <c r="M8" s="348"/>
    </row>
    <row r="9" spans="1:13" x14ac:dyDescent="0.2">
      <c r="A9" s="41"/>
      <c r="B9" s="41"/>
      <c r="C9" s="39"/>
      <c r="D9" s="39"/>
      <c r="E9" s="42"/>
      <c r="F9" s="45"/>
      <c r="G9" s="46"/>
      <c r="H9" s="38"/>
      <c r="I9" s="40"/>
      <c r="J9" s="40"/>
      <c r="K9" s="346"/>
      <c r="L9" s="347"/>
      <c r="M9" s="348"/>
    </row>
    <row r="10" spans="1:13" x14ac:dyDescent="0.2">
      <c r="A10" s="41"/>
      <c r="B10" s="41"/>
      <c r="C10" s="39"/>
      <c r="D10" s="39"/>
      <c r="E10" s="42"/>
      <c r="F10" s="45"/>
      <c r="G10" s="46"/>
      <c r="H10" s="38"/>
      <c r="I10" s="40"/>
      <c r="J10" s="40"/>
      <c r="K10" s="346"/>
      <c r="L10" s="347"/>
      <c r="M10" s="348"/>
    </row>
    <row r="11" spans="1:13" x14ac:dyDescent="0.2">
      <c r="A11" s="41"/>
      <c r="B11" s="41"/>
      <c r="C11" s="39"/>
      <c r="D11" s="39"/>
      <c r="E11" s="42"/>
      <c r="F11" s="45"/>
      <c r="G11" s="46"/>
      <c r="H11" s="38"/>
      <c r="I11" s="40"/>
      <c r="J11" s="40"/>
      <c r="K11" s="346"/>
      <c r="L11" s="347"/>
      <c r="M11" s="348"/>
    </row>
    <row r="12" spans="1:13" x14ac:dyDescent="0.2">
      <c r="A12" s="41"/>
      <c r="B12" s="41"/>
      <c r="C12" s="39"/>
      <c r="D12" s="39"/>
      <c r="E12" s="42"/>
      <c r="F12" s="45"/>
      <c r="G12" s="46"/>
      <c r="H12" s="38"/>
      <c r="I12" s="40"/>
      <c r="J12" s="40"/>
      <c r="K12" s="346"/>
      <c r="L12" s="347"/>
      <c r="M12" s="348"/>
    </row>
    <row r="13" spans="1:13" x14ac:dyDescent="0.2">
      <c r="A13" s="41"/>
      <c r="B13" s="41"/>
      <c r="C13" s="39"/>
      <c r="D13" s="39"/>
      <c r="E13" s="42"/>
      <c r="F13" s="45"/>
      <c r="G13" s="46"/>
      <c r="H13" s="38"/>
      <c r="I13" s="40"/>
      <c r="J13" s="40"/>
      <c r="K13" s="346"/>
      <c r="L13" s="347"/>
      <c r="M13" s="348"/>
    </row>
    <row r="14" spans="1:13" x14ac:dyDescent="0.2">
      <c r="A14" s="41"/>
      <c r="B14" s="41"/>
      <c r="C14" s="39"/>
      <c r="D14" s="39"/>
      <c r="E14" s="42"/>
      <c r="F14" s="45"/>
      <c r="G14" s="46"/>
      <c r="H14" s="38"/>
      <c r="I14" s="40"/>
      <c r="J14" s="40"/>
      <c r="K14" s="346"/>
      <c r="L14" s="347"/>
      <c r="M14" s="348"/>
    </row>
    <row r="15" spans="1:13" ht="13.5" thickBot="1" x14ac:dyDescent="0.25">
      <c r="A15" s="41"/>
      <c r="B15" s="41"/>
      <c r="C15" s="39"/>
      <c r="D15" s="39"/>
      <c r="E15" s="42"/>
      <c r="F15" s="45"/>
      <c r="G15" s="47"/>
      <c r="H15" s="48"/>
      <c r="I15" s="49"/>
      <c r="J15" s="49"/>
      <c r="K15" s="342"/>
      <c r="L15" s="343"/>
      <c r="M15" s="344"/>
    </row>
  </sheetData>
  <customSheetViews>
    <customSheetView guid="{23569F49-FBC0-4F47-9C51-282C545B103D}" state="hidden">
      <selection activeCell="C22" sqref="C22"/>
      <pageMargins left="0.7" right="0.7" top="0.75" bottom="0.75" header="0.3" footer="0.3"/>
    </customSheetView>
    <customSheetView guid="{D80C08F4-E264-4AD6-98CE-CE2933253099}" state="hidden">
      <selection activeCell="C22" sqref="C22"/>
      <pageMargins left="0.7" right="0.7" top="0.75" bottom="0.75" header="0.3" footer="0.3"/>
    </customSheetView>
    <customSheetView guid="{93ADF27F-9A18-4647-82B7-CE6A8B02AE32}" state="hidden">
      <selection activeCell="C22" sqref="C22"/>
      <pageMargins left="0.7" right="0.7" top="0.75" bottom="0.75" header="0.3" footer="0.3"/>
    </customSheetView>
    <customSheetView guid="{CDD4CC9E-6119-4CA0-8931-C42027CB6312}" state="hidden">
      <selection activeCell="C22" sqref="C22"/>
      <pageMargins left="0.7" right="0.7" top="0.75" bottom="0.75" header="0.3" footer="0.3"/>
    </customSheetView>
    <customSheetView guid="{6AEDB835-43F0-481E-A780-2C561C644D12}" state="hidden">
      <selection activeCell="C22" sqref="C22"/>
      <pageMargins left="0.7" right="0.7" top="0.75" bottom="0.75" header="0.3" footer="0.3"/>
    </customSheetView>
    <customSheetView guid="{7E7CA3FB-6FDA-4256-BB02-7B4FCCA3FFF0}" state="hidden">
      <selection activeCell="C22" sqref="C22"/>
      <pageMargins left="0.7" right="0.7" top="0.75" bottom="0.75" header="0.3" footer="0.3"/>
    </customSheetView>
  </customSheetViews>
  <mergeCells count="22">
    <mergeCell ref="D3:D5"/>
    <mergeCell ref="E3:F4"/>
    <mergeCell ref="G3:M3"/>
    <mergeCell ref="G4:G5"/>
    <mergeCell ref="H4:H5"/>
    <mergeCell ref="I4:I5"/>
    <mergeCell ref="K15:M15"/>
    <mergeCell ref="A1:M1"/>
    <mergeCell ref="K9:M9"/>
    <mergeCell ref="K10:M10"/>
    <mergeCell ref="K11:M11"/>
    <mergeCell ref="K12:M12"/>
    <mergeCell ref="K13:M13"/>
    <mergeCell ref="K14:M14"/>
    <mergeCell ref="K4:M5"/>
    <mergeCell ref="K6:M6"/>
    <mergeCell ref="K7:M7"/>
    <mergeCell ref="K8:M8"/>
    <mergeCell ref="J4:J5"/>
    <mergeCell ref="A3:A5"/>
    <mergeCell ref="B3:B5"/>
    <mergeCell ref="C3:C5"/>
  </mergeCells>
  <conditionalFormatting sqref="E6">
    <cfRule type="cellIs" dxfId="17" priority="39" stopIfTrue="1" operator="notBetween">
      <formula>1</formula>
      <formula>3</formula>
    </cfRule>
    <cfRule type="expression" dxfId="16" priority="40" stopIfTrue="1">
      <formula>$F6=3</formula>
    </cfRule>
    <cfRule type="expression" dxfId="15" priority="41" stopIfTrue="1">
      <formula>$F6=2</formula>
    </cfRule>
    <cfRule type="expression" dxfId="14" priority="42" stopIfTrue="1">
      <formula>$F6=1</formula>
    </cfRule>
  </conditionalFormatting>
  <conditionalFormatting sqref="F6">
    <cfRule type="cellIs" dxfId="13" priority="35" stopIfTrue="1" operator="equal">
      <formula>"Alto"</formula>
    </cfRule>
    <cfRule type="cellIs" dxfId="12" priority="36" stopIfTrue="1" operator="equal">
      <formula>"Medio"</formula>
    </cfRule>
    <cfRule type="cellIs" dxfId="11" priority="37" stopIfTrue="1" operator="equal">
      <formula>"Bajo"</formula>
    </cfRule>
    <cfRule type="cellIs" dxfId="10" priority="38" stopIfTrue="1" operator="equal">
      <formula>""</formula>
    </cfRule>
  </conditionalFormatting>
  <conditionalFormatting sqref="H6">
    <cfRule type="expression" dxfId="9" priority="68" stopIfTrue="1">
      <formula>#REF!=1</formula>
    </cfRule>
  </conditionalFormatting>
  <conditionalFormatting sqref="E7:E15">
    <cfRule type="cellIs" dxfId="8" priority="6" stopIfTrue="1" operator="notBetween">
      <formula>1</formula>
      <formula>3</formula>
    </cfRule>
    <cfRule type="expression" dxfId="7" priority="7" stopIfTrue="1">
      <formula>$F7=3</formula>
    </cfRule>
    <cfRule type="expression" dxfId="6" priority="8" stopIfTrue="1">
      <formula>$F7=2</formula>
    </cfRule>
    <cfRule type="expression" dxfId="5" priority="9" stopIfTrue="1">
      <formula>$F7=1</formula>
    </cfRule>
  </conditionalFormatting>
  <conditionalFormatting sqref="F7:F15">
    <cfRule type="cellIs" dxfId="4" priority="2" stopIfTrue="1" operator="equal">
      <formula>"Alto"</formula>
    </cfRule>
    <cfRule type="cellIs" dxfId="3" priority="3" stopIfTrue="1" operator="equal">
      <formula>"Medio"</formula>
    </cfRule>
    <cfRule type="cellIs" dxfId="2" priority="4" stopIfTrue="1" operator="equal">
      <formula>"Bajo"</formula>
    </cfRule>
    <cfRule type="cellIs" dxfId="1" priority="5" stopIfTrue="1" operator="equal">
      <formula>""</formula>
    </cfRule>
  </conditionalFormatting>
  <conditionalFormatting sqref="H7:H15">
    <cfRule type="expression" dxfId="0" priority="1" stopIfTrue="1">
      <formula>#REF!=1</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zoomScaleSheetLayoutView="110" workbookViewId="0">
      <selection activeCell="A5" sqref="A5:E5"/>
    </sheetView>
  </sheetViews>
  <sheetFormatPr baseColWidth="10" defaultColWidth="25" defaultRowHeight="12.75" x14ac:dyDescent="0.2"/>
  <cols>
    <col min="1" max="2" width="20.7109375" customWidth="1"/>
    <col min="3" max="3" width="10.5703125" customWidth="1"/>
    <col min="4" max="4" width="20.7109375" customWidth="1"/>
    <col min="5" max="5" width="29.85546875" customWidth="1"/>
    <col min="6" max="7" width="20.7109375" customWidth="1"/>
  </cols>
  <sheetData>
    <row r="1" spans="1:5" ht="15.75" customHeight="1" thickBot="1" x14ac:dyDescent="0.25">
      <c r="A1" s="1" t="s">
        <v>6</v>
      </c>
      <c r="B1" s="1"/>
      <c r="C1" s="1"/>
      <c r="D1" s="1"/>
      <c r="E1" s="2" t="s">
        <v>7</v>
      </c>
    </row>
    <row r="2" spans="1:5" ht="15.75" customHeight="1" x14ac:dyDescent="0.2">
      <c r="A2" s="375" t="s">
        <v>6</v>
      </c>
      <c r="B2" s="376"/>
      <c r="C2" s="376"/>
      <c r="D2" s="376"/>
      <c r="E2" s="377"/>
    </row>
    <row r="3" spans="1:5" x14ac:dyDescent="0.2">
      <c r="A3" s="378"/>
      <c r="B3" s="379"/>
      <c r="C3" s="379"/>
      <c r="D3" s="379"/>
      <c r="E3" s="380"/>
    </row>
    <row r="4" spans="1:5" ht="15.75" customHeight="1" x14ac:dyDescent="0.2">
      <c r="A4" s="381" t="s">
        <v>8</v>
      </c>
      <c r="B4" s="382"/>
      <c r="C4" s="382"/>
      <c r="D4" s="382"/>
      <c r="E4" s="383"/>
    </row>
    <row r="5" spans="1:5" x14ac:dyDescent="0.2">
      <c r="A5" s="384"/>
      <c r="B5" s="385"/>
      <c r="C5" s="385"/>
      <c r="D5" s="385"/>
      <c r="E5" s="386"/>
    </row>
    <row r="6" spans="1:5" ht="15.75" x14ac:dyDescent="0.2">
      <c r="A6" s="387" t="s">
        <v>9</v>
      </c>
      <c r="B6" s="388"/>
      <c r="C6" s="388"/>
      <c r="D6" s="388"/>
      <c r="E6" s="389"/>
    </row>
    <row r="7" spans="1:5" x14ac:dyDescent="0.2">
      <c r="A7" s="390"/>
      <c r="B7" s="391"/>
      <c r="C7" s="391"/>
      <c r="D7" s="391"/>
      <c r="E7" s="392"/>
    </row>
    <row r="8" spans="1:5" ht="12.75" customHeight="1" x14ac:dyDescent="0.2">
      <c r="A8" s="3"/>
      <c r="B8" s="4"/>
      <c r="C8" s="393" t="s">
        <v>101</v>
      </c>
      <c r="D8" s="393"/>
      <c r="E8" s="394"/>
    </row>
    <row r="9" spans="1:5" ht="12.75" customHeight="1" x14ac:dyDescent="0.2">
      <c r="A9" s="395" t="s">
        <v>10</v>
      </c>
      <c r="B9" s="396"/>
      <c r="C9" s="393" t="s">
        <v>58</v>
      </c>
      <c r="D9" s="393"/>
      <c r="E9" s="394"/>
    </row>
    <row r="10" spans="1:5" ht="12.75" customHeight="1" x14ac:dyDescent="0.2">
      <c r="A10" s="395" t="s">
        <v>11</v>
      </c>
      <c r="B10" s="396"/>
      <c r="C10" s="393" t="s">
        <v>55</v>
      </c>
      <c r="D10" s="393"/>
      <c r="E10" s="394"/>
    </row>
    <row r="11" spans="1:5" x14ac:dyDescent="0.2">
      <c r="A11" s="397"/>
      <c r="B11" s="398"/>
      <c r="C11" s="398"/>
      <c r="D11" s="398"/>
      <c r="E11" s="399"/>
    </row>
    <row r="12" spans="1:5" x14ac:dyDescent="0.2">
      <c r="A12" s="400" t="s">
        <v>12</v>
      </c>
      <c r="B12" s="401"/>
      <c r="C12" s="401"/>
      <c r="D12" s="401"/>
      <c r="E12" s="402"/>
    </row>
    <row r="13" spans="1:5" ht="36.75" customHeight="1" x14ac:dyDescent="0.2">
      <c r="A13" s="400" t="s">
        <v>102</v>
      </c>
      <c r="B13" s="401"/>
      <c r="C13" s="401"/>
      <c r="D13" s="401"/>
      <c r="E13" s="402"/>
    </row>
    <row r="14" spans="1:5" ht="13.5" thickBot="1" x14ac:dyDescent="0.25">
      <c r="A14" s="403"/>
      <c r="B14" s="404"/>
      <c r="C14" s="404"/>
      <c r="D14" s="404"/>
      <c r="E14" s="405"/>
    </row>
    <row r="15" spans="1:5" ht="13.5" thickBot="1" x14ac:dyDescent="0.25">
      <c r="A15" s="406" t="s">
        <v>13</v>
      </c>
      <c r="B15" s="407"/>
      <c r="C15" s="406" t="s">
        <v>14</v>
      </c>
      <c r="D15" s="408"/>
      <c r="E15" s="407"/>
    </row>
    <row r="16" spans="1:5" ht="12.75" customHeight="1" x14ac:dyDescent="0.2">
      <c r="A16" s="409" t="s">
        <v>15</v>
      </c>
      <c r="B16" s="410"/>
      <c r="C16" s="411"/>
      <c r="D16" s="412"/>
      <c r="E16" s="413"/>
    </row>
    <row r="17" spans="1:5" x14ac:dyDescent="0.2">
      <c r="A17" s="414" t="s">
        <v>16</v>
      </c>
      <c r="B17" s="415"/>
      <c r="C17" s="414" t="s">
        <v>51</v>
      </c>
      <c r="D17" s="416"/>
      <c r="E17" s="415"/>
    </row>
    <row r="18" spans="1:5" x14ac:dyDescent="0.2">
      <c r="A18" s="414" t="s">
        <v>49</v>
      </c>
      <c r="B18" s="415"/>
      <c r="C18" s="378"/>
      <c r="D18" s="379"/>
      <c r="E18" s="380"/>
    </row>
    <row r="19" spans="1:5" x14ac:dyDescent="0.2">
      <c r="A19" s="414" t="s">
        <v>50</v>
      </c>
      <c r="B19" s="415"/>
      <c r="C19" s="378"/>
      <c r="D19" s="379"/>
      <c r="E19" s="380"/>
    </row>
    <row r="20" spans="1:5" ht="13.5" thickBot="1" x14ac:dyDescent="0.25">
      <c r="A20" s="417"/>
      <c r="B20" s="418"/>
      <c r="C20" s="403"/>
      <c r="D20" s="404"/>
      <c r="E20" s="405"/>
    </row>
    <row r="21" spans="1:5" ht="13.5" thickBot="1" x14ac:dyDescent="0.25">
      <c r="A21" s="419" t="s">
        <v>17</v>
      </c>
      <c r="B21" s="420"/>
      <c r="C21" s="420"/>
      <c r="D21" s="420"/>
      <c r="E21" s="421"/>
    </row>
    <row r="22" spans="1:5" x14ac:dyDescent="0.2">
      <c r="A22" s="7" t="s">
        <v>18</v>
      </c>
      <c r="B22" s="411" t="s">
        <v>19</v>
      </c>
      <c r="C22" s="412"/>
      <c r="D22" s="412"/>
      <c r="E22" s="413"/>
    </row>
    <row r="23" spans="1:5" ht="13.5" thickBot="1" x14ac:dyDescent="0.25">
      <c r="A23" s="27"/>
      <c r="B23" s="422"/>
      <c r="C23" s="423"/>
      <c r="D23" s="423"/>
      <c r="E23" s="424"/>
    </row>
    <row r="24" spans="1:5" x14ac:dyDescent="0.2">
      <c r="A24" s="411" t="s">
        <v>20</v>
      </c>
      <c r="B24" s="412"/>
      <c r="C24" s="412"/>
      <c r="D24" s="412"/>
      <c r="E24" s="413"/>
    </row>
    <row r="25" spans="1:5" ht="13.5" thickBot="1" x14ac:dyDescent="0.25">
      <c r="A25" s="422"/>
      <c r="B25" s="423"/>
      <c r="C25" s="423"/>
      <c r="D25" s="423"/>
      <c r="E25" s="424"/>
    </row>
    <row r="26" spans="1:5" ht="13.5" thickBot="1" x14ac:dyDescent="0.25">
      <c r="A26" s="419" t="s">
        <v>21</v>
      </c>
      <c r="B26" s="425"/>
      <c r="C26" s="426"/>
      <c r="D26" s="419" t="s">
        <v>22</v>
      </c>
      <c r="E26" s="426"/>
    </row>
    <row r="27" spans="1:5" x14ac:dyDescent="0.2">
      <c r="A27" s="411"/>
      <c r="B27" s="412"/>
      <c r="C27" s="413"/>
      <c r="D27" s="411"/>
      <c r="E27" s="413"/>
    </row>
    <row r="28" spans="1:5" x14ac:dyDescent="0.2">
      <c r="A28" s="427" t="s">
        <v>59</v>
      </c>
      <c r="B28" s="428"/>
      <c r="C28" s="429"/>
      <c r="D28" s="427" t="s">
        <v>62</v>
      </c>
      <c r="E28" s="429"/>
    </row>
    <row r="29" spans="1:5" ht="28.5" customHeight="1" x14ac:dyDescent="0.2">
      <c r="A29" s="427" t="s">
        <v>60</v>
      </c>
      <c r="B29" s="428"/>
      <c r="C29" s="429"/>
      <c r="D29" s="427" t="s">
        <v>63</v>
      </c>
      <c r="E29" s="429"/>
    </row>
    <row r="30" spans="1:5" ht="42.75" customHeight="1" x14ac:dyDescent="0.2">
      <c r="A30" s="427" t="s">
        <v>61</v>
      </c>
      <c r="B30" s="428"/>
      <c r="C30" s="429"/>
      <c r="D30" s="427" t="s">
        <v>64</v>
      </c>
      <c r="E30" s="429"/>
    </row>
    <row r="31" spans="1:5" x14ac:dyDescent="0.2">
      <c r="A31" s="427" t="s">
        <v>23</v>
      </c>
      <c r="B31" s="428"/>
      <c r="C31" s="429"/>
      <c r="D31" s="427" t="s">
        <v>65</v>
      </c>
      <c r="E31" s="429"/>
    </row>
    <row r="32" spans="1:5" x14ac:dyDescent="0.2">
      <c r="A32" s="427" t="s">
        <v>24</v>
      </c>
      <c r="B32" s="428"/>
      <c r="C32" s="429"/>
      <c r="D32" s="427" t="s">
        <v>24</v>
      </c>
      <c r="E32" s="429"/>
    </row>
    <row r="33" spans="1:5" ht="29.25" customHeight="1" x14ac:dyDescent="0.2">
      <c r="A33" s="427" t="s">
        <v>25</v>
      </c>
      <c r="B33" s="428"/>
      <c r="C33" s="429"/>
      <c r="D33" s="427" t="s">
        <v>26</v>
      </c>
      <c r="E33" s="429"/>
    </row>
    <row r="34" spans="1:5" ht="93" customHeight="1" thickBot="1" x14ac:dyDescent="0.25">
      <c r="A34" s="427" t="s">
        <v>47</v>
      </c>
      <c r="B34" s="428"/>
      <c r="C34" s="429"/>
      <c r="D34" s="427" t="s">
        <v>48</v>
      </c>
      <c r="E34" s="429"/>
    </row>
    <row r="35" spans="1:5" ht="12.75" customHeight="1" x14ac:dyDescent="0.2">
      <c r="A35" s="435" t="s">
        <v>27</v>
      </c>
      <c r="B35" s="436"/>
      <c r="C35" s="437"/>
      <c r="D35" s="8"/>
      <c r="E35" s="6"/>
    </row>
    <row r="36" spans="1:5" x14ac:dyDescent="0.2">
      <c r="A36" s="9"/>
      <c r="B36" s="10"/>
      <c r="C36" s="11"/>
      <c r="D36" s="438" t="s">
        <v>28</v>
      </c>
      <c r="E36" s="439"/>
    </row>
    <row r="37" spans="1:5" ht="24.95" customHeight="1" x14ac:dyDescent="0.2">
      <c r="A37" s="430" t="s">
        <v>66</v>
      </c>
      <c r="B37" s="431"/>
      <c r="C37" s="432"/>
      <c r="D37" s="433" t="s">
        <v>52</v>
      </c>
      <c r="E37" s="434"/>
    </row>
    <row r="38" spans="1:5" ht="24.95" customHeight="1" x14ac:dyDescent="0.2">
      <c r="A38" s="430" t="s">
        <v>67</v>
      </c>
      <c r="B38" s="431"/>
      <c r="C38" s="432"/>
      <c r="D38" s="3"/>
      <c r="E38" s="14"/>
    </row>
    <row r="39" spans="1:5" ht="24.95" customHeight="1" x14ac:dyDescent="0.2">
      <c r="A39" s="430" t="s">
        <v>29</v>
      </c>
      <c r="B39" s="431"/>
      <c r="C39" s="432"/>
      <c r="D39" s="433" t="s">
        <v>28</v>
      </c>
      <c r="E39" s="434"/>
    </row>
    <row r="40" spans="1:5" ht="24.95" customHeight="1" x14ac:dyDescent="0.2">
      <c r="A40" s="430" t="s">
        <v>68</v>
      </c>
      <c r="B40" s="431"/>
      <c r="C40" s="432"/>
      <c r="D40" s="433"/>
      <c r="E40" s="434"/>
    </row>
    <row r="41" spans="1:5" ht="13.5" thickBot="1" x14ac:dyDescent="0.25">
      <c r="A41" s="15"/>
      <c r="B41" s="16"/>
      <c r="C41" s="17"/>
      <c r="D41" s="443" t="s">
        <v>4</v>
      </c>
      <c r="E41" s="444"/>
    </row>
    <row r="42" spans="1:5" ht="27" customHeight="1" thickBot="1" x14ac:dyDescent="0.25">
      <c r="A42" s="440" t="s">
        <v>30</v>
      </c>
      <c r="B42" s="441"/>
      <c r="C42" s="441"/>
      <c r="D42" s="441"/>
      <c r="E42" s="442"/>
    </row>
    <row r="45" spans="1:5" x14ac:dyDescent="0.2">
      <c r="E45" s="36"/>
    </row>
  </sheetData>
  <customSheetViews>
    <customSheetView guid="{23569F49-FBC0-4F47-9C51-282C545B103D}" showGridLines="0" state="hidden">
      <selection activeCell="A5" sqref="A5:E5"/>
      <pageMargins left="0.75" right="0.75" top="1" bottom="1" header="0.5" footer="0.5"/>
      <pageSetup scale="86" orientation="portrait" r:id="rId1"/>
      <headerFooter alignWithMargins="0"/>
    </customSheetView>
    <customSheetView guid="{D80C08F4-E264-4AD6-98CE-CE2933253099}" showGridLines="0" state="hidden">
      <selection activeCell="A5" sqref="A5:E5"/>
      <pageMargins left="0.75" right="0.75" top="1" bottom="1" header="0.5" footer="0.5"/>
      <pageSetup scale="86" orientation="portrait" r:id="rId2"/>
      <headerFooter alignWithMargins="0"/>
    </customSheetView>
    <customSheetView guid="{93ADF27F-9A18-4647-82B7-CE6A8B02AE32}" showGridLines="0" state="hidden">
      <selection activeCell="A5" sqref="A5:E5"/>
      <pageMargins left="0.75" right="0.75" top="1" bottom="1" header="0.5" footer="0.5"/>
      <pageSetup scale="86" orientation="portrait" r:id="rId3"/>
      <headerFooter alignWithMargins="0"/>
    </customSheetView>
    <customSheetView guid="{CDD4CC9E-6119-4CA0-8931-C42027CB6312}" showGridLines="0" state="hidden">
      <selection activeCell="A5" sqref="A5:E5"/>
      <pageMargins left="0.75" right="0.75" top="1" bottom="1" header="0.5" footer="0.5"/>
      <pageSetup scale="86" orientation="portrait" r:id="rId4"/>
      <headerFooter alignWithMargins="0"/>
    </customSheetView>
    <customSheetView guid="{6AEDB835-43F0-481E-A780-2C561C644D12}" showGridLines="0" state="hidden">
      <selection activeCell="A5" sqref="A5:E5"/>
      <pageMargins left="0.75" right="0.75" top="1" bottom="1" header="0.5" footer="0.5"/>
      <pageSetup scale="86" orientation="portrait" r:id="rId5"/>
      <headerFooter alignWithMargins="0"/>
    </customSheetView>
    <customSheetView guid="{7E7CA3FB-6FDA-4256-BB02-7B4FCCA3FFF0}" showGridLines="0" state="hidden">
      <selection activeCell="A5" sqref="A5:E5"/>
      <pageMargins left="0.75" right="0.75" top="1" bottom="1" header="0.5" footer="0.5"/>
      <pageSetup scale="86" orientation="portrait" r:id="rId6"/>
      <headerFooter alignWithMargins="0"/>
    </customSheetView>
  </customSheetViews>
  <mergeCells count="61">
    <mergeCell ref="A42:E42"/>
    <mergeCell ref="A38:C38"/>
    <mergeCell ref="A39:C39"/>
    <mergeCell ref="D39:E39"/>
    <mergeCell ref="D41:E41"/>
    <mergeCell ref="A30:C30"/>
    <mergeCell ref="D30:E30"/>
    <mergeCell ref="A31:C31"/>
    <mergeCell ref="D31:E31"/>
    <mergeCell ref="A40:C40"/>
    <mergeCell ref="A32:C32"/>
    <mergeCell ref="D32:E32"/>
    <mergeCell ref="A33:C33"/>
    <mergeCell ref="D33:E33"/>
    <mergeCell ref="A34:C34"/>
    <mergeCell ref="D34:E34"/>
    <mergeCell ref="D40:E40"/>
    <mergeCell ref="A35:C35"/>
    <mergeCell ref="D36:E36"/>
    <mergeCell ref="A37:C37"/>
    <mergeCell ref="D37:E37"/>
    <mergeCell ref="A27:C27"/>
    <mergeCell ref="D27:E27"/>
    <mergeCell ref="A28:C28"/>
    <mergeCell ref="D28:E28"/>
    <mergeCell ref="A29:C29"/>
    <mergeCell ref="D29:E29"/>
    <mergeCell ref="B22:E22"/>
    <mergeCell ref="B23:E23"/>
    <mergeCell ref="A24:E24"/>
    <mergeCell ref="A25:E25"/>
    <mergeCell ref="A26:C26"/>
    <mergeCell ref="D26:E26"/>
    <mergeCell ref="A19:B19"/>
    <mergeCell ref="C19:E19"/>
    <mergeCell ref="A20:B20"/>
    <mergeCell ref="C20:E20"/>
    <mergeCell ref="A21:E21"/>
    <mergeCell ref="A16:B16"/>
    <mergeCell ref="C16:E16"/>
    <mergeCell ref="A17:B17"/>
    <mergeCell ref="C17:E17"/>
    <mergeCell ref="A18:B18"/>
    <mergeCell ref="C18:E18"/>
    <mergeCell ref="A11:E11"/>
    <mergeCell ref="A12:E12"/>
    <mergeCell ref="A13:E13"/>
    <mergeCell ref="A14:E14"/>
    <mergeCell ref="A15:B15"/>
    <mergeCell ref="C15:E15"/>
    <mergeCell ref="A7:E7"/>
    <mergeCell ref="C8:E8"/>
    <mergeCell ref="A9:B9"/>
    <mergeCell ref="C9:E9"/>
    <mergeCell ref="A10:B10"/>
    <mergeCell ref="C10:E10"/>
    <mergeCell ref="A2:E2"/>
    <mergeCell ref="A3:E3"/>
    <mergeCell ref="A4:E4"/>
    <mergeCell ref="A5:E5"/>
    <mergeCell ref="A6:E6"/>
  </mergeCells>
  <phoneticPr fontId="5" type="noConversion"/>
  <pageMargins left="0.75" right="0.75" top="1" bottom="1" header="0.5" footer="0.5"/>
  <pageSetup scale="86" orientation="portrait" r:id="rId7"/>
  <headerFooter alignWithMargins="0"/>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topLeftCell="A8" zoomScaleSheetLayoutView="100" workbookViewId="0">
      <selection activeCell="A23" sqref="A23:H23"/>
    </sheetView>
  </sheetViews>
  <sheetFormatPr baseColWidth="10" defaultColWidth="25" defaultRowHeight="12.75" x14ac:dyDescent="0.2"/>
  <cols>
    <col min="1" max="1" width="20.7109375" customWidth="1"/>
    <col min="2" max="2" width="2" customWidth="1"/>
    <col min="3" max="3" width="20.7109375" customWidth="1"/>
    <col min="4" max="4" width="10.5703125" customWidth="1"/>
    <col min="5" max="5" width="2" customWidth="1"/>
    <col min="6" max="6" width="20.7109375" customWidth="1"/>
    <col min="7" max="7" width="2" customWidth="1"/>
    <col min="8" max="8" width="29.85546875" customWidth="1"/>
    <col min="9" max="10" width="20.7109375" customWidth="1"/>
  </cols>
  <sheetData>
    <row r="1" spans="1:8" s="19" customFormat="1" ht="13.5" thickBot="1" x14ac:dyDescent="0.25">
      <c r="A1" s="18"/>
      <c r="B1" s="18"/>
      <c r="C1" s="18"/>
      <c r="D1" s="18"/>
      <c r="E1" s="18"/>
      <c r="F1" s="18"/>
      <c r="G1" s="18"/>
      <c r="H1" s="18"/>
    </row>
    <row r="2" spans="1:8" ht="14.25" customHeight="1" x14ac:dyDescent="0.2">
      <c r="A2" s="447" t="s">
        <v>31</v>
      </c>
      <c r="B2" s="448"/>
      <c r="C2" s="448"/>
      <c r="D2" s="448"/>
      <c r="E2" s="448"/>
      <c r="F2" s="448"/>
      <c r="G2" s="448"/>
      <c r="H2" s="449"/>
    </row>
    <row r="3" spans="1:8" x14ac:dyDescent="0.2">
      <c r="A3" s="450"/>
      <c r="B3" s="451"/>
      <c r="C3" s="451"/>
      <c r="D3" s="451"/>
      <c r="E3" s="451"/>
      <c r="F3" s="451"/>
      <c r="G3" s="451"/>
      <c r="H3" s="452"/>
    </row>
    <row r="4" spans="1:8" x14ac:dyDescent="0.2">
      <c r="A4" s="450"/>
      <c r="B4" s="451"/>
      <c r="C4" s="451"/>
      <c r="D4" s="451"/>
      <c r="E4" s="451"/>
      <c r="F4" s="451"/>
      <c r="G4" s="451"/>
      <c r="H4" s="452"/>
    </row>
    <row r="5" spans="1:8" ht="12.75" customHeight="1" x14ac:dyDescent="0.2">
      <c r="A5" s="12" t="s">
        <v>32</v>
      </c>
      <c r="B5" s="21"/>
      <c r="C5" s="445" t="s">
        <v>33</v>
      </c>
      <c r="D5" s="445"/>
      <c r="E5" s="21"/>
      <c r="F5" s="21" t="s">
        <v>34</v>
      </c>
      <c r="G5" s="21"/>
      <c r="H5" s="13" t="s">
        <v>57</v>
      </c>
    </row>
    <row r="6" spans="1:8" ht="12.75" customHeight="1" x14ac:dyDescent="0.2">
      <c r="A6" s="12"/>
      <c r="B6" s="21"/>
      <c r="C6" s="21"/>
      <c r="D6" s="21"/>
      <c r="E6" s="21"/>
      <c r="F6" s="21"/>
      <c r="G6" s="21"/>
      <c r="H6" s="13"/>
    </row>
    <row r="7" spans="1:8" ht="12.75" customHeight="1" x14ac:dyDescent="0.2">
      <c r="A7" s="32"/>
      <c r="B7" s="34"/>
      <c r="C7" s="445"/>
      <c r="D7" s="445"/>
      <c r="E7" s="34"/>
      <c r="F7" s="25"/>
      <c r="G7" s="34"/>
      <c r="H7" s="28"/>
    </row>
    <row r="8" spans="1:8" ht="12.75" customHeight="1" x14ac:dyDescent="0.2">
      <c r="A8" s="33"/>
      <c r="B8" s="34"/>
      <c r="C8" s="446"/>
      <c r="D8" s="446"/>
      <c r="E8" s="34"/>
      <c r="F8" s="24"/>
      <c r="G8" s="34"/>
      <c r="H8" s="29"/>
    </row>
    <row r="9" spans="1:8" ht="12.75" customHeight="1" x14ac:dyDescent="0.2">
      <c r="A9" s="31"/>
      <c r="B9" s="21"/>
      <c r="C9" s="445"/>
      <c r="D9" s="445"/>
      <c r="E9" s="21"/>
      <c r="F9" s="24"/>
      <c r="G9" s="21"/>
      <c r="H9" s="13"/>
    </row>
    <row r="10" spans="1:8" ht="12.75" customHeight="1" x14ac:dyDescent="0.2">
      <c r="A10" s="31"/>
      <c r="B10" s="21"/>
      <c r="C10" s="453"/>
      <c r="D10" s="453"/>
      <c r="E10" s="21"/>
      <c r="F10" s="24"/>
      <c r="G10" s="21"/>
      <c r="H10" s="35"/>
    </row>
    <row r="11" spans="1:8" ht="12.75" customHeight="1" x14ac:dyDescent="0.2">
      <c r="A11" s="31"/>
      <c r="B11" s="21"/>
      <c r="C11" s="446"/>
      <c r="D11" s="446"/>
      <c r="E11" s="21"/>
      <c r="F11" s="24"/>
      <c r="G11" s="21"/>
      <c r="H11" s="35"/>
    </row>
    <row r="12" spans="1:8" ht="12.75" customHeight="1" x14ac:dyDescent="0.2">
      <c r="A12" s="31"/>
      <c r="B12" s="21"/>
      <c r="C12" s="456"/>
      <c r="D12" s="456"/>
      <c r="E12" s="21"/>
      <c r="F12" s="24"/>
      <c r="G12" s="21"/>
      <c r="H12" s="35"/>
    </row>
    <row r="13" spans="1:8" ht="12.75" customHeight="1" x14ac:dyDescent="0.2">
      <c r="A13" s="31"/>
      <c r="B13" s="21"/>
      <c r="C13" s="445"/>
      <c r="D13" s="445"/>
      <c r="E13" s="21"/>
      <c r="F13" s="21"/>
      <c r="G13" s="21"/>
      <c r="H13" s="13"/>
    </row>
    <row r="14" spans="1:8" ht="12.75" customHeight="1" x14ac:dyDescent="0.2">
      <c r="A14" s="20" t="s">
        <v>35</v>
      </c>
      <c r="B14" s="18"/>
      <c r="C14" s="18"/>
      <c r="D14" s="18"/>
      <c r="E14" s="18"/>
      <c r="F14" s="18" t="s">
        <v>36</v>
      </c>
      <c r="G14" s="18"/>
      <c r="H14" s="30"/>
    </row>
    <row r="15" spans="1:8" x14ac:dyDescent="0.2">
      <c r="A15" s="450"/>
      <c r="B15" s="451"/>
      <c r="C15" s="451"/>
      <c r="D15" s="451"/>
      <c r="E15" s="451"/>
      <c r="F15" s="451"/>
      <c r="G15" s="451"/>
      <c r="H15" s="452"/>
    </row>
    <row r="16" spans="1:8" x14ac:dyDescent="0.2">
      <c r="A16" s="450"/>
      <c r="B16" s="451"/>
      <c r="C16" s="451"/>
      <c r="D16" s="451"/>
      <c r="E16" s="451"/>
      <c r="F16" s="451"/>
      <c r="G16" s="451"/>
      <c r="H16" s="452"/>
    </row>
    <row r="17" spans="1:8" ht="12.75" customHeight="1" x14ac:dyDescent="0.2">
      <c r="A17" s="400" t="s">
        <v>37</v>
      </c>
      <c r="B17" s="401"/>
      <c r="C17" s="454"/>
      <c r="D17" s="454"/>
      <c r="E17" s="454"/>
      <c r="F17" s="454"/>
      <c r="G17" s="454"/>
      <c r="H17" s="455"/>
    </row>
    <row r="18" spans="1:8" ht="12.75" customHeight="1" x14ac:dyDescent="0.2">
      <c r="A18" s="5"/>
      <c r="B18" s="26"/>
      <c r="C18" s="22"/>
      <c r="D18" s="22"/>
      <c r="E18" s="26"/>
      <c r="F18" s="22"/>
      <c r="G18" s="26"/>
      <c r="H18" s="23"/>
    </row>
    <row r="19" spans="1:8" ht="27" customHeight="1" x14ac:dyDescent="0.2">
      <c r="A19" s="400" t="s">
        <v>53</v>
      </c>
      <c r="B19" s="401"/>
      <c r="C19" s="401"/>
      <c r="D19" s="401"/>
      <c r="E19" s="401"/>
      <c r="F19" s="401"/>
      <c r="G19" s="401"/>
      <c r="H19" s="402"/>
    </row>
    <row r="20" spans="1:8" ht="37.5" customHeight="1" x14ac:dyDescent="0.2">
      <c r="A20" s="400" t="s">
        <v>103</v>
      </c>
      <c r="B20" s="401"/>
      <c r="C20" s="401"/>
      <c r="D20" s="401"/>
      <c r="E20" s="401"/>
      <c r="F20" s="401"/>
      <c r="G20" s="401"/>
      <c r="H20" s="402"/>
    </row>
    <row r="21" spans="1:8" ht="38.25" customHeight="1" x14ac:dyDescent="0.2">
      <c r="A21" s="400" t="s">
        <v>104</v>
      </c>
      <c r="B21" s="401"/>
      <c r="C21" s="401"/>
      <c r="D21" s="401"/>
      <c r="E21" s="401"/>
      <c r="F21" s="401"/>
      <c r="G21" s="401"/>
      <c r="H21" s="402"/>
    </row>
    <row r="22" spans="1:8" ht="37.5" customHeight="1" x14ac:dyDescent="0.2">
      <c r="A22" s="395" t="s">
        <v>44</v>
      </c>
      <c r="B22" s="396"/>
      <c r="C22" s="396"/>
      <c r="D22" s="396"/>
      <c r="E22" s="396"/>
      <c r="F22" s="396"/>
      <c r="G22" s="396"/>
      <c r="H22" s="457"/>
    </row>
    <row r="23" spans="1:8" ht="38.25" customHeight="1" x14ac:dyDescent="0.2">
      <c r="A23" s="400" t="s">
        <v>38</v>
      </c>
      <c r="B23" s="401"/>
      <c r="C23" s="401"/>
      <c r="D23" s="401"/>
      <c r="E23" s="401"/>
      <c r="F23" s="401"/>
      <c r="G23" s="401"/>
      <c r="H23" s="402"/>
    </row>
    <row r="24" spans="1:8" ht="39" customHeight="1" x14ac:dyDescent="0.2">
      <c r="A24" s="400" t="s">
        <v>39</v>
      </c>
      <c r="B24" s="401"/>
      <c r="C24" s="401"/>
      <c r="D24" s="401"/>
      <c r="E24" s="401"/>
      <c r="F24" s="401"/>
      <c r="G24" s="401"/>
      <c r="H24" s="402"/>
    </row>
    <row r="25" spans="1:8" ht="50.25" customHeight="1" x14ac:dyDescent="0.2">
      <c r="A25" s="400" t="s">
        <v>45</v>
      </c>
      <c r="B25" s="401"/>
      <c r="C25" s="401"/>
      <c r="D25" s="401"/>
      <c r="E25" s="401"/>
      <c r="F25" s="401"/>
      <c r="G25" s="401"/>
      <c r="H25" s="402"/>
    </row>
    <row r="26" spans="1:8" ht="36.75" customHeight="1" x14ac:dyDescent="0.2">
      <c r="A26" s="400" t="s">
        <v>46</v>
      </c>
      <c r="B26" s="401"/>
      <c r="C26" s="401"/>
      <c r="D26" s="401"/>
      <c r="E26" s="401"/>
      <c r="F26" s="401"/>
      <c r="G26" s="401"/>
      <c r="H26" s="402"/>
    </row>
    <row r="27" spans="1:8" x14ac:dyDescent="0.2">
      <c r="A27" s="458" t="s">
        <v>70</v>
      </c>
      <c r="B27" s="454"/>
      <c r="C27" s="454"/>
      <c r="D27" s="454"/>
      <c r="E27" s="454"/>
      <c r="F27" s="454"/>
      <c r="G27" s="454"/>
      <c r="H27" s="455"/>
    </row>
    <row r="28" spans="1:8" x14ac:dyDescent="0.2">
      <c r="A28" s="450"/>
      <c r="B28" s="451"/>
      <c r="C28" s="451"/>
      <c r="D28" s="451"/>
      <c r="E28" s="451"/>
      <c r="F28" s="451"/>
      <c r="G28" s="451"/>
      <c r="H28" s="452"/>
    </row>
    <row r="29" spans="1:8" x14ac:dyDescent="0.2">
      <c r="A29" s="450"/>
      <c r="B29" s="451"/>
      <c r="C29" s="451"/>
      <c r="D29" s="451"/>
      <c r="E29" s="451"/>
      <c r="F29" s="451"/>
      <c r="G29" s="451"/>
      <c r="H29" s="452"/>
    </row>
    <row r="30" spans="1:8" ht="12.75" customHeight="1" x14ac:dyDescent="0.2">
      <c r="A30" s="433" t="s">
        <v>40</v>
      </c>
      <c r="B30" s="445"/>
      <c r="C30" s="445"/>
      <c r="D30" s="18"/>
      <c r="E30" s="18"/>
      <c r="F30" s="456"/>
      <c r="G30" s="456"/>
      <c r="H30" s="459"/>
    </row>
    <row r="31" spans="1:8" x14ac:dyDescent="0.2">
      <c r="A31" s="433" t="s">
        <v>54</v>
      </c>
      <c r="B31" s="445"/>
      <c r="C31" s="445"/>
      <c r="D31" s="18"/>
      <c r="E31" s="18"/>
      <c r="F31" s="445" t="s">
        <v>4</v>
      </c>
      <c r="G31" s="445"/>
      <c r="H31" s="434"/>
    </row>
    <row r="32" spans="1:8" ht="12.75" customHeight="1" x14ac:dyDescent="0.2">
      <c r="A32" s="433"/>
      <c r="B32" s="445"/>
      <c r="C32" s="445"/>
      <c r="D32" s="18"/>
      <c r="E32" s="18"/>
      <c r="F32" s="445"/>
      <c r="G32" s="445"/>
      <c r="H32" s="434"/>
    </row>
    <row r="33" spans="1:8" ht="12.75" customHeight="1" x14ac:dyDescent="0.2">
      <c r="A33" s="450" t="s">
        <v>41</v>
      </c>
      <c r="B33" s="451"/>
      <c r="C33" s="451"/>
      <c r="D33" s="451"/>
      <c r="E33" s="451"/>
      <c r="F33" s="451"/>
      <c r="G33" s="451"/>
      <c r="H33" s="452"/>
    </row>
    <row r="34" spans="1:8" x14ac:dyDescent="0.2">
      <c r="A34" s="450"/>
      <c r="B34" s="451"/>
      <c r="C34" s="451"/>
      <c r="D34" s="451"/>
      <c r="E34" s="451"/>
      <c r="F34" s="451"/>
      <c r="G34" s="451"/>
      <c r="H34" s="452"/>
    </row>
    <row r="35" spans="1:8" x14ac:dyDescent="0.2">
      <c r="A35" s="460" t="s">
        <v>42</v>
      </c>
      <c r="B35" s="461"/>
      <c r="C35" s="461"/>
      <c r="D35" s="461"/>
      <c r="E35" s="461"/>
      <c r="F35" s="461"/>
      <c r="G35" s="461"/>
      <c r="H35" s="462"/>
    </row>
    <row r="36" spans="1:8" x14ac:dyDescent="0.2">
      <c r="A36" s="463" t="s">
        <v>43</v>
      </c>
      <c r="B36" s="464"/>
      <c r="C36" s="464"/>
      <c r="D36" s="464"/>
      <c r="E36" s="464"/>
      <c r="F36" s="464"/>
      <c r="G36" s="464"/>
      <c r="H36" s="465"/>
    </row>
    <row r="37" spans="1:8" ht="13.5" thickBot="1" x14ac:dyDescent="0.25">
      <c r="A37" s="417"/>
      <c r="B37" s="466"/>
      <c r="C37" s="466"/>
      <c r="D37" s="466"/>
      <c r="E37" s="466"/>
      <c r="F37" s="466"/>
      <c r="G37" s="466"/>
      <c r="H37" s="418"/>
    </row>
  </sheetData>
  <customSheetViews>
    <customSheetView guid="{23569F49-FBC0-4F47-9C51-282C545B103D}" showGridLines="0" state="hidden" topLeftCell="A8">
      <selection activeCell="A23" sqref="A23:H23"/>
      <pageMargins left="0.25" right="0.25" top="0.25" bottom="0.25" header="0.5" footer="0.5"/>
      <printOptions horizontalCentered="1" verticalCentered="1"/>
      <pageSetup scale="95" orientation="portrait" r:id="rId1"/>
      <headerFooter alignWithMargins="0"/>
    </customSheetView>
    <customSheetView guid="{D80C08F4-E264-4AD6-98CE-CE2933253099}" showGridLines="0" state="hidden" topLeftCell="A8">
      <selection activeCell="A23" sqref="A23:H23"/>
      <pageMargins left="0.25" right="0.25" top="0.25" bottom="0.25" header="0.5" footer="0.5"/>
      <printOptions horizontalCentered="1" verticalCentered="1"/>
      <pageSetup scale="95" orientation="portrait" r:id="rId2"/>
      <headerFooter alignWithMargins="0"/>
    </customSheetView>
    <customSheetView guid="{93ADF27F-9A18-4647-82B7-CE6A8B02AE32}" showGridLines="0" state="hidden" topLeftCell="A8">
      <selection activeCell="A23" sqref="A23:H23"/>
      <pageMargins left="0.25" right="0.25" top="0.25" bottom="0.25" header="0.5" footer="0.5"/>
      <printOptions horizontalCentered="1" verticalCentered="1"/>
      <pageSetup scale="95" orientation="portrait" r:id="rId3"/>
      <headerFooter alignWithMargins="0"/>
    </customSheetView>
    <customSheetView guid="{CDD4CC9E-6119-4CA0-8931-C42027CB6312}" showGridLines="0" state="hidden" topLeftCell="A8">
      <selection activeCell="A23" sqref="A23:H23"/>
      <pageMargins left="0.25" right="0.25" top="0.25" bottom="0.25" header="0.5" footer="0.5"/>
      <printOptions horizontalCentered="1" verticalCentered="1"/>
      <pageSetup scale="95" orientation="portrait" r:id="rId4"/>
      <headerFooter alignWithMargins="0"/>
    </customSheetView>
    <customSheetView guid="{6AEDB835-43F0-481E-A780-2C561C644D12}" showGridLines="0" state="hidden" topLeftCell="A8">
      <selection activeCell="A23" sqref="A23:H23"/>
      <pageMargins left="0.25" right="0.25" top="0.25" bottom="0.25" header="0.5" footer="0.5"/>
      <printOptions horizontalCentered="1" verticalCentered="1"/>
      <pageSetup scale="95" orientation="portrait" r:id="rId5"/>
      <headerFooter alignWithMargins="0"/>
    </customSheetView>
    <customSheetView guid="{7E7CA3FB-6FDA-4256-BB02-7B4FCCA3FFF0}" showGridLines="0" state="hidden" topLeftCell="A8">
      <selection activeCell="A23" sqref="A23:H23"/>
      <pageMargins left="0.25" right="0.25" top="0.25" bottom="0.25" header="0.5" footer="0.5"/>
      <printOptions horizontalCentered="1" verticalCentered="1"/>
      <pageSetup scale="95" orientation="portrait" r:id="rId6"/>
      <headerFooter alignWithMargins="0"/>
    </customSheetView>
  </customSheetViews>
  <mergeCells count="36">
    <mergeCell ref="A34:H34"/>
    <mergeCell ref="A35:H35"/>
    <mergeCell ref="A36:H36"/>
    <mergeCell ref="A37:H37"/>
    <mergeCell ref="A33:H33"/>
    <mergeCell ref="F32:H32"/>
    <mergeCell ref="A24:H24"/>
    <mergeCell ref="A21:H21"/>
    <mergeCell ref="A22:H22"/>
    <mergeCell ref="A27:H27"/>
    <mergeCell ref="A28:H28"/>
    <mergeCell ref="A29:H29"/>
    <mergeCell ref="A25:H25"/>
    <mergeCell ref="A26:H26"/>
    <mergeCell ref="A30:C30"/>
    <mergeCell ref="F30:H30"/>
    <mergeCell ref="F31:H31"/>
    <mergeCell ref="A31:C31"/>
    <mergeCell ref="A32:C32"/>
    <mergeCell ref="C13:D13"/>
    <mergeCell ref="C10:D10"/>
    <mergeCell ref="C11:D11"/>
    <mergeCell ref="A23:H23"/>
    <mergeCell ref="A19:H19"/>
    <mergeCell ref="A20:H20"/>
    <mergeCell ref="A15:H15"/>
    <mergeCell ref="A16:H16"/>
    <mergeCell ref="A17:H17"/>
    <mergeCell ref="C12:D12"/>
    <mergeCell ref="C9:D9"/>
    <mergeCell ref="C8:D8"/>
    <mergeCell ref="C7:D7"/>
    <mergeCell ref="A2:H2"/>
    <mergeCell ref="A3:H3"/>
    <mergeCell ref="A4:H4"/>
    <mergeCell ref="C5:D5"/>
  </mergeCells>
  <phoneticPr fontId="5" type="noConversion"/>
  <printOptions horizontalCentered="1" verticalCentered="1"/>
  <pageMargins left="0.25" right="0.25" top="0.25" bottom="0.25" header="0.5" footer="0.5"/>
  <pageSetup scale="95" orientation="portrait" r:id="rId7"/>
  <headerFooter alignWithMargins="0"/>
  <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7"/>
  <sheetViews>
    <sheetView showGridLines="0" tabSelected="1" topLeftCell="A6" zoomScale="91" zoomScaleNormal="91" zoomScaleSheetLayoutView="91" workbookViewId="0">
      <selection activeCell="A6" sqref="A6:Y6"/>
    </sheetView>
  </sheetViews>
  <sheetFormatPr baseColWidth="10" defaultColWidth="9.140625" defaultRowHeight="12.75" x14ac:dyDescent="0.2"/>
  <cols>
    <col min="1" max="1" width="5.85546875" style="43" customWidth="1"/>
    <col min="2" max="2" width="8.28515625" style="43" customWidth="1"/>
    <col min="3" max="3" width="15" style="43" customWidth="1"/>
    <col min="4" max="4" width="65.42578125" style="199" customWidth="1"/>
    <col min="5" max="5" width="19.28515625" style="43" customWidth="1"/>
    <col min="6" max="6" width="20" style="43" customWidth="1"/>
    <col min="7" max="7" width="11.7109375" style="43" customWidth="1"/>
    <col min="8" max="8" width="11.85546875" style="43" customWidth="1"/>
    <col min="9" max="9" width="16.28515625" style="202" customWidth="1"/>
    <col min="10" max="10" width="16.85546875" style="202" customWidth="1"/>
    <col min="11" max="11" width="11.7109375" style="202" customWidth="1"/>
    <col min="12" max="12" width="12.85546875" style="202" customWidth="1"/>
    <col min="13" max="13" width="15.42578125" style="202" customWidth="1"/>
    <col min="14" max="14" width="22.140625" style="202" customWidth="1"/>
    <col min="15" max="16" width="12.140625" style="202" customWidth="1"/>
    <col min="17" max="17" width="13.85546875" style="202" customWidth="1"/>
    <col min="18" max="18" width="10.5703125" style="202" customWidth="1"/>
    <col min="19" max="19" width="12.28515625" style="202" customWidth="1"/>
    <col min="20" max="20" width="28.5703125" style="43" customWidth="1"/>
    <col min="21" max="21" width="16.42578125" style="43" customWidth="1"/>
    <col min="22" max="22" width="12.42578125" style="43" customWidth="1"/>
    <col min="23" max="23" width="12.85546875" style="43" customWidth="1"/>
    <col min="24" max="24" width="16.7109375" style="43" customWidth="1"/>
    <col min="25" max="25" width="57.7109375" style="43" customWidth="1"/>
    <col min="26" max="16384" width="9.140625" style="43"/>
  </cols>
  <sheetData>
    <row r="1" spans="1:25" hidden="1" x14ac:dyDescent="0.2"/>
    <row r="2" spans="1:25" hidden="1" x14ac:dyDescent="0.2"/>
    <row r="3" spans="1:25" hidden="1" x14ac:dyDescent="0.2">
      <c r="H3" s="110"/>
    </row>
    <row r="4" spans="1:25" hidden="1" x14ac:dyDescent="0.2"/>
    <row r="5" spans="1:25" ht="26.25" hidden="1" x14ac:dyDescent="0.2">
      <c r="A5" s="496"/>
      <c r="B5" s="496"/>
      <c r="C5" s="496"/>
      <c r="D5" s="496"/>
      <c r="E5" s="496"/>
      <c r="F5" s="496"/>
      <c r="G5" s="496"/>
      <c r="H5" s="496"/>
      <c r="I5" s="496"/>
      <c r="J5" s="496"/>
      <c r="K5" s="496"/>
      <c r="L5" s="496"/>
      <c r="M5" s="496"/>
      <c r="N5" s="496"/>
      <c r="O5" s="496"/>
      <c r="P5" s="496"/>
      <c r="Q5" s="496"/>
      <c r="R5" s="496"/>
      <c r="S5" s="496"/>
      <c r="T5" s="496"/>
      <c r="U5" s="496"/>
      <c r="V5" s="496"/>
      <c r="W5" s="496"/>
      <c r="X5" s="496"/>
      <c r="Y5" s="496"/>
    </row>
    <row r="6" spans="1:25" ht="24.75" customHeight="1" x14ac:dyDescent="0.2">
      <c r="A6" s="496"/>
      <c r="B6" s="496"/>
      <c r="C6" s="496"/>
      <c r="D6" s="496"/>
      <c r="E6" s="496"/>
      <c r="F6" s="496"/>
      <c r="G6" s="496"/>
      <c r="H6" s="496"/>
      <c r="I6" s="496"/>
      <c r="J6" s="496"/>
      <c r="K6" s="496"/>
      <c r="L6" s="496"/>
      <c r="M6" s="496"/>
      <c r="N6" s="496"/>
      <c r="O6" s="496"/>
      <c r="P6" s="496"/>
      <c r="Q6" s="496"/>
      <c r="R6" s="496"/>
      <c r="S6" s="496"/>
      <c r="T6" s="496"/>
      <c r="U6" s="496"/>
      <c r="V6" s="496"/>
      <c r="W6" s="496"/>
      <c r="X6" s="496"/>
      <c r="Y6" s="496"/>
    </row>
    <row r="7" spans="1:25" ht="15.75" x14ac:dyDescent="0.25">
      <c r="A7" s="248" t="s">
        <v>503</v>
      </c>
      <c r="B7" s="248"/>
      <c r="C7" s="248"/>
      <c r="D7" s="248"/>
      <c r="E7" s="248"/>
      <c r="F7" s="248"/>
      <c r="G7" s="248"/>
      <c r="H7" s="248"/>
      <c r="I7" s="248"/>
      <c r="J7" s="248"/>
      <c r="K7" s="248"/>
      <c r="L7" s="248"/>
      <c r="M7" s="248"/>
      <c r="N7" s="248"/>
      <c r="O7" s="248"/>
      <c r="P7" s="248"/>
      <c r="Q7" s="248"/>
      <c r="R7" s="248"/>
      <c r="S7" s="248"/>
      <c r="T7" s="258"/>
      <c r="U7" s="248"/>
      <c r="V7" s="248"/>
      <c r="W7" s="248"/>
      <c r="X7" s="248"/>
      <c r="Y7" s="248"/>
    </row>
    <row r="8" spans="1:25" ht="15.75" customHeight="1" x14ac:dyDescent="0.2">
      <c r="A8" s="249" t="s">
        <v>506</v>
      </c>
      <c r="B8" s="234"/>
      <c r="C8" s="234"/>
      <c r="D8" s="233"/>
      <c r="E8" s="233"/>
      <c r="F8" s="233"/>
      <c r="G8" s="233"/>
      <c r="H8" s="233"/>
      <c r="I8" s="203"/>
      <c r="J8" s="204"/>
      <c r="K8" s="204"/>
      <c r="L8" s="204"/>
      <c r="M8" s="204"/>
      <c r="N8" s="204"/>
      <c r="O8" s="204"/>
      <c r="P8" s="204"/>
      <c r="Q8" s="204"/>
      <c r="R8" s="204"/>
      <c r="S8" s="204"/>
      <c r="T8" s="50"/>
      <c r="U8" s="257"/>
      <c r="V8" s="230"/>
      <c r="W8" s="230"/>
      <c r="X8" s="230"/>
      <c r="Y8" s="230"/>
    </row>
    <row r="9" spans="1:25" ht="22.5" customHeight="1" x14ac:dyDescent="0.2">
      <c r="A9" s="249" t="s">
        <v>507</v>
      </c>
      <c r="B9" s="234"/>
      <c r="C9" s="234"/>
      <c r="D9" s="234"/>
      <c r="E9" s="234"/>
      <c r="F9" s="234"/>
      <c r="G9" s="234"/>
      <c r="H9" s="234"/>
      <c r="I9" s="234"/>
      <c r="J9" s="205"/>
      <c r="K9" s="205"/>
      <c r="L9" s="205"/>
      <c r="M9" s="206"/>
      <c r="N9" s="206"/>
      <c r="O9" s="206"/>
      <c r="P9" s="206"/>
      <c r="Q9" s="206"/>
      <c r="R9" s="206"/>
      <c r="S9" s="206"/>
      <c r="T9" s="50"/>
      <c r="U9" s="50"/>
      <c r="V9" s="50"/>
      <c r="W9" s="50"/>
      <c r="X9" s="50"/>
      <c r="Y9" s="50"/>
    </row>
    <row r="10" spans="1:25" s="219" customFormat="1" ht="66.75" customHeight="1" x14ac:dyDescent="0.25">
      <c r="A10" s="223" t="s">
        <v>339</v>
      </c>
      <c r="B10" s="223" t="s">
        <v>509</v>
      </c>
      <c r="C10" s="223" t="s">
        <v>332</v>
      </c>
      <c r="D10" s="250" t="s">
        <v>579</v>
      </c>
      <c r="E10" s="223" t="s">
        <v>512</v>
      </c>
      <c r="F10" s="223" t="s">
        <v>513</v>
      </c>
      <c r="G10" s="224" t="s">
        <v>536</v>
      </c>
      <c r="H10" s="224" t="s">
        <v>564</v>
      </c>
      <c r="I10" s="225" t="s">
        <v>321</v>
      </c>
      <c r="J10" s="225" t="s">
        <v>322</v>
      </c>
      <c r="K10" s="225" t="s">
        <v>323</v>
      </c>
      <c r="L10" s="225" t="s">
        <v>324</v>
      </c>
      <c r="M10" s="225" t="s">
        <v>325</v>
      </c>
      <c r="N10" s="225" t="s">
        <v>326</v>
      </c>
      <c r="O10" s="225" t="s">
        <v>322</v>
      </c>
      <c r="P10" s="225" t="s">
        <v>327</v>
      </c>
      <c r="Q10" s="225" t="s">
        <v>328</v>
      </c>
      <c r="R10" s="225" t="s">
        <v>329</v>
      </c>
      <c r="S10" s="225" t="s">
        <v>330</v>
      </c>
      <c r="T10" s="226" t="s">
        <v>537</v>
      </c>
      <c r="U10" s="227" t="s">
        <v>505</v>
      </c>
      <c r="V10" s="227" t="s">
        <v>533</v>
      </c>
      <c r="W10" s="227" t="s">
        <v>534</v>
      </c>
      <c r="X10" s="228" t="s">
        <v>535</v>
      </c>
      <c r="Y10" s="229" t="s">
        <v>504</v>
      </c>
    </row>
    <row r="11" spans="1:25" s="219" customFormat="1" ht="31.5" customHeight="1" x14ac:dyDescent="0.25">
      <c r="A11" s="497" t="s">
        <v>583</v>
      </c>
      <c r="B11" s="498"/>
      <c r="C11" s="498"/>
      <c r="D11" s="499"/>
      <c r="E11" s="242">
        <f>+E12+E17+E21+E24+E28+E32+E36</f>
        <v>59634747.080000006</v>
      </c>
      <c r="F11" s="242">
        <f t="shared" ref="F11:F20" si="0">+E11/6.86</f>
        <v>8693111.8192419838</v>
      </c>
      <c r="G11" s="243"/>
      <c r="H11" s="244"/>
      <c r="I11" s="245"/>
      <c r="J11" s="245"/>
      <c r="K11" s="245"/>
      <c r="L11" s="245"/>
      <c r="M11" s="245"/>
      <c r="N11" s="245"/>
      <c r="O11" s="245"/>
      <c r="P11" s="245"/>
      <c r="Q11" s="245"/>
      <c r="R11" s="245"/>
      <c r="S11" s="245"/>
      <c r="T11" s="259"/>
      <c r="U11" s="292">
        <f>+U12+U21+U24+U28+U32+U36</f>
        <v>43049584.399999999</v>
      </c>
      <c r="V11" s="246"/>
      <c r="W11" s="246"/>
      <c r="X11" s="293">
        <f>+U11/6.86</f>
        <v>6275449.6209912533</v>
      </c>
      <c r="Y11" s="247"/>
    </row>
    <row r="12" spans="1:25" s="219" customFormat="1" ht="63" customHeight="1" x14ac:dyDescent="0.25">
      <c r="A12" s="473">
        <v>1</v>
      </c>
      <c r="B12" s="473" t="s">
        <v>508</v>
      </c>
      <c r="C12" s="473" t="s">
        <v>572</v>
      </c>
      <c r="D12" s="252" t="s">
        <v>591</v>
      </c>
      <c r="E12" s="251">
        <f>SUM(E13:E16)</f>
        <v>9671623.7000000011</v>
      </c>
      <c r="F12" s="251">
        <f t="shared" si="0"/>
        <v>1409857.6822157435</v>
      </c>
      <c r="G12" s="251" t="s">
        <v>571</v>
      </c>
      <c r="H12" s="231" t="s">
        <v>540</v>
      </c>
      <c r="I12" s="264" t="s">
        <v>573</v>
      </c>
      <c r="J12" s="216" t="s">
        <v>214</v>
      </c>
      <c r="K12" s="216" t="s">
        <v>214</v>
      </c>
      <c r="L12" s="264" t="s">
        <v>619</v>
      </c>
      <c r="M12" s="264" t="s">
        <v>621</v>
      </c>
      <c r="N12" s="264" t="s">
        <v>622</v>
      </c>
      <c r="O12" s="264" t="s">
        <v>214</v>
      </c>
      <c r="P12" s="264" t="s">
        <v>214</v>
      </c>
      <c r="Q12" s="264" t="s">
        <v>623</v>
      </c>
      <c r="R12" s="220"/>
      <c r="S12" s="220"/>
      <c r="T12" s="260"/>
      <c r="U12" s="262">
        <f>SUM(U13:U16)</f>
        <v>8929741.9399999995</v>
      </c>
      <c r="V12" s="221"/>
      <c r="W12" s="221"/>
      <c r="X12" s="290">
        <f>+U12/6.86</f>
        <v>1301711.6530612244</v>
      </c>
      <c r="Y12" s="321"/>
    </row>
    <row r="13" spans="1:25" s="219" customFormat="1" ht="36.6" customHeight="1" x14ac:dyDescent="0.25">
      <c r="A13" s="474"/>
      <c r="B13" s="474"/>
      <c r="C13" s="474"/>
      <c r="D13" s="235" t="s">
        <v>546</v>
      </c>
      <c r="E13" s="253">
        <v>3821222.66</v>
      </c>
      <c r="F13" s="239">
        <f t="shared" si="0"/>
        <v>557029.54227405251</v>
      </c>
      <c r="G13" s="238" t="s">
        <v>571</v>
      </c>
      <c r="H13" s="77" t="s">
        <v>563</v>
      </c>
      <c r="I13" s="264" t="s">
        <v>573</v>
      </c>
      <c r="J13" s="216" t="s">
        <v>214</v>
      </c>
      <c r="K13" s="216" t="s">
        <v>214</v>
      </c>
      <c r="L13" s="241" t="s">
        <v>619</v>
      </c>
      <c r="M13" s="264" t="s">
        <v>621</v>
      </c>
      <c r="N13" s="241" t="s">
        <v>658</v>
      </c>
      <c r="O13" s="264" t="s">
        <v>214</v>
      </c>
      <c r="P13" s="264" t="s">
        <v>214</v>
      </c>
      <c r="Q13" s="241" t="s">
        <v>659</v>
      </c>
      <c r="R13" s="322"/>
      <c r="S13" s="322"/>
      <c r="T13" s="280" t="s">
        <v>639</v>
      </c>
      <c r="U13" s="221">
        <v>3706656.16</v>
      </c>
      <c r="V13" s="261">
        <v>0</v>
      </c>
      <c r="W13" s="221">
        <f>+U13+V13</f>
        <v>3706656.16</v>
      </c>
      <c r="X13" s="222"/>
      <c r="Y13" s="324" t="s">
        <v>704</v>
      </c>
    </row>
    <row r="14" spans="1:25" s="219" customFormat="1" ht="33" customHeight="1" x14ac:dyDescent="0.25">
      <c r="A14" s="474"/>
      <c r="B14" s="474"/>
      <c r="C14" s="474"/>
      <c r="D14" s="236" t="s">
        <v>553</v>
      </c>
      <c r="E14" s="254">
        <v>688219.72</v>
      </c>
      <c r="F14" s="239">
        <f t="shared" si="0"/>
        <v>100323.57434402332</v>
      </c>
      <c r="G14" s="238" t="s">
        <v>571</v>
      </c>
      <c r="H14" s="77" t="s">
        <v>563</v>
      </c>
      <c r="I14" s="264" t="s">
        <v>573</v>
      </c>
      <c r="J14" s="216" t="s">
        <v>214</v>
      </c>
      <c r="K14" s="216" t="s">
        <v>214</v>
      </c>
      <c r="L14" s="241" t="s">
        <v>619</v>
      </c>
      <c r="M14" s="264" t="s">
        <v>621</v>
      </c>
      <c r="N14" s="241" t="s">
        <v>658</v>
      </c>
      <c r="O14" s="264" t="s">
        <v>214</v>
      </c>
      <c r="P14" s="264" t="s">
        <v>214</v>
      </c>
      <c r="Q14" s="241" t="s">
        <v>659</v>
      </c>
      <c r="R14" s="315" t="s">
        <v>688</v>
      </c>
      <c r="S14" s="315" t="s">
        <v>689</v>
      </c>
      <c r="T14" s="280" t="s">
        <v>639</v>
      </c>
      <c r="U14" s="221">
        <v>679410</v>
      </c>
      <c r="V14" s="261">
        <v>0</v>
      </c>
      <c r="W14" s="221">
        <f>+U14+V14</f>
        <v>679410</v>
      </c>
      <c r="X14" s="222"/>
      <c r="Y14" s="324" t="s">
        <v>706</v>
      </c>
    </row>
    <row r="15" spans="1:25" s="219" customFormat="1" ht="39.6" customHeight="1" x14ac:dyDescent="0.25">
      <c r="A15" s="474"/>
      <c r="B15" s="474"/>
      <c r="C15" s="474"/>
      <c r="D15" s="235" t="s">
        <v>549</v>
      </c>
      <c r="E15" s="253">
        <v>4013722.76</v>
      </c>
      <c r="F15" s="239">
        <f t="shared" si="0"/>
        <v>585090.7813411078</v>
      </c>
      <c r="G15" s="238" t="s">
        <v>571</v>
      </c>
      <c r="H15" s="77" t="s">
        <v>563</v>
      </c>
      <c r="I15" s="264" t="s">
        <v>573</v>
      </c>
      <c r="J15" s="216" t="s">
        <v>214</v>
      </c>
      <c r="K15" s="216" t="s">
        <v>214</v>
      </c>
      <c r="L15" s="241" t="s">
        <v>619</v>
      </c>
      <c r="M15" s="264" t="s">
        <v>621</v>
      </c>
      <c r="N15" s="241" t="s">
        <v>658</v>
      </c>
      <c r="O15" s="264" t="s">
        <v>214</v>
      </c>
      <c r="P15" s="264" t="s">
        <v>214</v>
      </c>
      <c r="Q15" s="241" t="s">
        <v>659</v>
      </c>
      <c r="R15" s="315" t="s">
        <v>688</v>
      </c>
      <c r="S15" s="315" t="s">
        <v>689</v>
      </c>
      <c r="T15" s="280" t="s">
        <v>639</v>
      </c>
      <c r="U15" s="221">
        <v>3531957.36</v>
      </c>
      <c r="V15" s="261">
        <v>0</v>
      </c>
      <c r="W15" s="221">
        <f>+U15+V15</f>
        <v>3531957.36</v>
      </c>
      <c r="X15" s="222"/>
      <c r="Y15" s="324" t="s">
        <v>706</v>
      </c>
    </row>
    <row r="16" spans="1:25" s="219" customFormat="1" ht="52.5" customHeight="1" x14ac:dyDescent="0.25">
      <c r="A16" s="475"/>
      <c r="B16" s="475"/>
      <c r="C16" s="475"/>
      <c r="D16" s="235" t="s">
        <v>554</v>
      </c>
      <c r="E16" s="253">
        <v>1148458.56</v>
      </c>
      <c r="F16" s="239">
        <f t="shared" si="0"/>
        <v>167413.78425655977</v>
      </c>
      <c r="G16" s="238" t="s">
        <v>571</v>
      </c>
      <c r="H16" s="77" t="s">
        <v>563</v>
      </c>
      <c r="I16" s="264" t="s">
        <v>573</v>
      </c>
      <c r="J16" s="216" t="s">
        <v>214</v>
      </c>
      <c r="K16" s="216" t="s">
        <v>214</v>
      </c>
      <c r="L16" s="241" t="s">
        <v>619</v>
      </c>
      <c r="M16" s="264" t="s">
        <v>621</v>
      </c>
      <c r="N16" s="241" t="s">
        <v>658</v>
      </c>
      <c r="O16" s="264" t="s">
        <v>214</v>
      </c>
      <c r="P16" s="264" t="s">
        <v>214</v>
      </c>
      <c r="Q16" s="241" t="s">
        <v>659</v>
      </c>
      <c r="R16" s="320"/>
      <c r="S16" s="320"/>
      <c r="T16" s="280" t="s">
        <v>639</v>
      </c>
      <c r="U16" s="221">
        <v>1011718.42</v>
      </c>
      <c r="V16" s="261">
        <v>0</v>
      </c>
      <c r="W16" s="221">
        <f>+U16+V16</f>
        <v>1011718.42</v>
      </c>
      <c r="X16" s="222"/>
      <c r="Y16" s="324" t="s">
        <v>705</v>
      </c>
    </row>
    <row r="17" spans="1:26" s="219" customFormat="1" ht="46.5" customHeight="1" x14ac:dyDescent="0.25">
      <c r="A17" s="473">
        <v>2</v>
      </c>
      <c r="B17" s="473" t="s">
        <v>508</v>
      </c>
      <c r="C17" s="473" t="s">
        <v>572</v>
      </c>
      <c r="D17" s="272" t="s">
        <v>592</v>
      </c>
      <c r="E17" s="256">
        <f>SUM(E18:E20)</f>
        <v>10428181.5</v>
      </c>
      <c r="F17" s="256">
        <f t="shared" si="0"/>
        <v>1520143.0758017492</v>
      </c>
      <c r="G17" s="256" t="s">
        <v>539</v>
      </c>
      <c r="H17" s="273" t="s">
        <v>540</v>
      </c>
      <c r="I17" s="264" t="s">
        <v>645</v>
      </c>
      <c r="J17" s="264" t="s">
        <v>645</v>
      </c>
      <c r="K17" s="241" t="s">
        <v>646</v>
      </c>
      <c r="L17" s="241" t="s">
        <v>663</v>
      </c>
      <c r="M17" s="241" t="s">
        <v>664</v>
      </c>
      <c r="N17" s="274"/>
      <c r="O17" s="274"/>
      <c r="P17" s="274"/>
      <c r="Q17" s="274"/>
      <c r="R17" s="316"/>
      <c r="S17" s="316"/>
      <c r="T17" s="281"/>
      <c r="U17" s="262"/>
      <c r="V17" s="262"/>
      <c r="W17" s="262"/>
      <c r="X17" s="275"/>
      <c r="Y17" s="479" t="s">
        <v>713</v>
      </c>
      <c r="Z17" s="270"/>
    </row>
    <row r="18" spans="1:26" s="219" customFormat="1" ht="18" customHeight="1" x14ac:dyDescent="0.25">
      <c r="A18" s="474"/>
      <c r="B18" s="474"/>
      <c r="C18" s="474"/>
      <c r="D18" s="276" t="s">
        <v>568</v>
      </c>
      <c r="E18" s="255">
        <v>5081384.7</v>
      </c>
      <c r="F18" s="215">
        <f t="shared" si="0"/>
        <v>740726.63265306118</v>
      </c>
      <c r="G18" s="238" t="s">
        <v>539</v>
      </c>
      <c r="H18" s="75" t="s">
        <v>563</v>
      </c>
      <c r="I18" s="264" t="s">
        <v>645</v>
      </c>
      <c r="J18" s="264" t="s">
        <v>645</v>
      </c>
      <c r="K18" s="241" t="s">
        <v>646</v>
      </c>
      <c r="L18" s="241" t="s">
        <v>663</v>
      </c>
      <c r="M18" s="241" t="s">
        <v>664</v>
      </c>
      <c r="N18" s="277" t="s">
        <v>619</v>
      </c>
      <c r="O18" s="274" t="s">
        <v>214</v>
      </c>
      <c r="P18" s="274" t="s">
        <v>214</v>
      </c>
      <c r="Q18" s="277" t="s">
        <v>647</v>
      </c>
      <c r="R18" s="467"/>
      <c r="S18" s="468"/>
      <c r="T18" s="281"/>
      <c r="U18" s="262"/>
      <c r="V18" s="263"/>
      <c r="W18" s="262"/>
      <c r="X18" s="275"/>
      <c r="Y18" s="480"/>
      <c r="Z18" s="271"/>
    </row>
    <row r="19" spans="1:26" s="219" customFormat="1" ht="27.75" customHeight="1" x14ac:dyDescent="0.25">
      <c r="A19" s="474"/>
      <c r="B19" s="474"/>
      <c r="C19" s="474"/>
      <c r="D19" s="276" t="s">
        <v>552</v>
      </c>
      <c r="E19" s="255">
        <v>4199818.0999999996</v>
      </c>
      <c r="F19" s="215">
        <f t="shared" si="0"/>
        <v>612218.38192419813</v>
      </c>
      <c r="G19" s="238" t="s">
        <v>539</v>
      </c>
      <c r="H19" s="75" t="s">
        <v>563</v>
      </c>
      <c r="I19" s="264" t="s">
        <v>645</v>
      </c>
      <c r="J19" s="264" t="s">
        <v>645</v>
      </c>
      <c r="K19" s="241" t="s">
        <v>646</v>
      </c>
      <c r="L19" s="241" t="s">
        <v>663</v>
      </c>
      <c r="M19" s="241" t="s">
        <v>664</v>
      </c>
      <c r="N19" s="277" t="s">
        <v>619</v>
      </c>
      <c r="O19" s="274" t="s">
        <v>214</v>
      </c>
      <c r="P19" s="274" t="s">
        <v>214</v>
      </c>
      <c r="Q19" s="277" t="s">
        <v>647</v>
      </c>
      <c r="R19" s="469"/>
      <c r="S19" s="470"/>
      <c r="T19" s="281"/>
      <c r="U19" s="262"/>
      <c r="V19" s="263"/>
      <c r="W19" s="262"/>
      <c r="X19" s="275"/>
      <c r="Y19" s="480"/>
      <c r="Z19" s="271"/>
    </row>
    <row r="20" spans="1:26" s="219" customFormat="1" ht="18" customHeight="1" x14ac:dyDescent="0.25">
      <c r="A20" s="475"/>
      <c r="B20" s="475"/>
      <c r="C20" s="475"/>
      <c r="D20" s="278" t="s">
        <v>559</v>
      </c>
      <c r="E20" s="255">
        <v>1146978.7</v>
      </c>
      <c r="F20" s="215">
        <f t="shared" si="0"/>
        <v>167198.06122448979</v>
      </c>
      <c r="G20" s="238" t="s">
        <v>539</v>
      </c>
      <c r="H20" s="75" t="s">
        <v>563</v>
      </c>
      <c r="I20" s="264" t="s">
        <v>645</v>
      </c>
      <c r="J20" s="264" t="s">
        <v>645</v>
      </c>
      <c r="K20" s="241" t="s">
        <v>646</v>
      </c>
      <c r="L20" s="241" t="s">
        <v>663</v>
      </c>
      <c r="M20" s="241" t="s">
        <v>664</v>
      </c>
      <c r="N20" s="277" t="s">
        <v>619</v>
      </c>
      <c r="O20" s="274" t="s">
        <v>214</v>
      </c>
      <c r="P20" s="274" t="s">
        <v>214</v>
      </c>
      <c r="Q20" s="277" t="s">
        <v>647</v>
      </c>
      <c r="R20" s="471"/>
      <c r="S20" s="472"/>
      <c r="T20" s="281"/>
      <c r="U20" s="262"/>
      <c r="V20" s="263"/>
      <c r="W20" s="262"/>
      <c r="X20" s="275"/>
      <c r="Y20" s="481"/>
      <c r="Z20" s="271"/>
    </row>
    <row r="21" spans="1:26" s="219" customFormat="1" ht="24" customHeight="1" x14ac:dyDescent="0.25">
      <c r="A21" s="473">
        <v>3</v>
      </c>
      <c r="B21" s="473" t="s">
        <v>508</v>
      </c>
      <c r="C21" s="473" t="s">
        <v>572</v>
      </c>
      <c r="D21" s="252" t="s">
        <v>593</v>
      </c>
      <c r="E21" s="251">
        <f>SUM(E22:E23)</f>
        <v>7793841.6099999994</v>
      </c>
      <c r="F21" s="251">
        <f t="shared" ref="F21:F44" si="1">+E21/6.86</f>
        <v>1136128.5145772593</v>
      </c>
      <c r="G21" s="251" t="s">
        <v>571</v>
      </c>
      <c r="H21" s="231" t="s">
        <v>540</v>
      </c>
      <c r="I21" s="264" t="s">
        <v>573</v>
      </c>
      <c r="J21" s="216" t="s">
        <v>214</v>
      </c>
      <c r="K21" s="216" t="s">
        <v>214</v>
      </c>
      <c r="L21" s="241" t="s">
        <v>574</v>
      </c>
      <c r="M21" s="241" t="s">
        <v>577</v>
      </c>
      <c r="N21" s="241" t="s">
        <v>576</v>
      </c>
      <c r="O21" s="241" t="s">
        <v>214</v>
      </c>
      <c r="P21" s="241" t="s">
        <v>214</v>
      </c>
      <c r="Q21" s="241" t="s">
        <v>542</v>
      </c>
      <c r="R21" s="315"/>
      <c r="S21" s="315"/>
      <c r="T21" s="282"/>
      <c r="U21" s="262">
        <f>SUM(U22:U23)</f>
        <v>7550717.0499999998</v>
      </c>
      <c r="V21" s="221"/>
      <c r="W21" s="221"/>
      <c r="X21" s="290">
        <f>+U21/6.86</f>
        <v>1100687.6166180756</v>
      </c>
      <c r="Y21" s="477" t="s">
        <v>706</v>
      </c>
    </row>
    <row r="22" spans="1:26" s="219" customFormat="1" ht="27.75" customHeight="1" x14ac:dyDescent="0.25">
      <c r="A22" s="474"/>
      <c r="B22" s="474"/>
      <c r="C22" s="474"/>
      <c r="D22" s="235" t="s">
        <v>545</v>
      </c>
      <c r="E22" s="253">
        <v>3781447.77</v>
      </c>
      <c r="F22" s="239">
        <f t="shared" si="1"/>
        <v>551231.4533527696</v>
      </c>
      <c r="G22" s="238" t="s">
        <v>571</v>
      </c>
      <c r="H22" s="77" t="s">
        <v>563</v>
      </c>
      <c r="I22" s="264" t="s">
        <v>573</v>
      </c>
      <c r="J22" s="216" t="s">
        <v>214</v>
      </c>
      <c r="K22" s="216" t="s">
        <v>214</v>
      </c>
      <c r="L22" s="241" t="s">
        <v>586</v>
      </c>
      <c r="M22" s="241" t="s">
        <v>624</v>
      </c>
      <c r="N22" s="241" t="s">
        <v>625</v>
      </c>
      <c r="O22" s="241" t="s">
        <v>214</v>
      </c>
      <c r="P22" s="241" t="s">
        <v>214</v>
      </c>
      <c r="Q22" s="241" t="s">
        <v>626</v>
      </c>
      <c r="R22" s="315" t="s">
        <v>671</v>
      </c>
      <c r="S22" s="315" t="s">
        <v>672</v>
      </c>
      <c r="T22" s="280" t="s">
        <v>615</v>
      </c>
      <c r="U22" s="261">
        <v>3702367.34</v>
      </c>
      <c r="V22" s="261">
        <v>0</v>
      </c>
      <c r="W22" s="221">
        <f>+U22+V22</f>
        <v>3702367.34</v>
      </c>
      <c r="X22" s="222"/>
      <c r="Y22" s="482"/>
    </row>
    <row r="23" spans="1:26" s="219" customFormat="1" ht="18" customHeight="1" x14ac:dyDescent="0.25">
      <c r="A23" s="475"/>
      <c r="B23" s="475"/>
      <c r="C23" s="475"/>
      <c r="D23" s="236" t="s">
        <v>547</v>
      </c>
      <c r="E23" s="254">
        <v>4012393.84</v>
      </c>
      <c r="F23" s="239">
        <f t="shared" si="1"/>
        <v>584897.06122448971</v>
      </c>
      <c r="G23" s="238" t="s">
        <v>571</v>
      </c>
      <c r="H23" s="77" t="s">
        <v>563</v>
      </c>
      <c r="I23" s="264" t="s">
        <v>573</v>
      </c>
      <c r="J23" s="216" t="s">
        <v>214</v>
      </c>
      <c r="K23" s="216" t="s">
        <v>214</v>
      </c>
      <c r="L23" s="241" t="s">
        <v>586</v>
      </c>
      <c r="M23" s="241" t="s">
        <v>624</v>
      </c>
      <c r="N23" s="241" t="s">
        <v>625</v>
      </c>
      <c r="O23" s="241" t="s">
        <v>214</v>
      </c>
      <c r="P23" s="241" t="s">
        <v>214</v>
      </c>
      <c r="Q23" s="241" t="s">
        <v>626</v>
      </c>
      <c r="R23" s="315" t="s">
        <v>671</v>
      </c>
      <c r="S23" s="315" t="s">
        <v>672</v>
      </c>
      <c r="T23" s="280" t="s">
        <v>615</v>
      </c>
      <c r="U23" s="261">
        <v>3848349.71</v>
      </c>
      <c r="V23" s="261">
        <v>0</v>
      </c>
      <c r="W23" s="221">
        <f>+U23+V23</f>
        <v>3848349.71</v>
      </c>
      <c r="X23" s="222"/>
      <c r="Y23" s="478"/>
    </row>
    <row r="24" spans="1:26" s="219" customFormat="1" ht="27" customHeight="1" x14ac:dyDescent="0.25">
      <c r="A24" s="473">
        <v>4</v>
      </c>
      <c r="B24" s="473" t="s">
        <v>508</v>
      </c>
      <c r="C24" s="473" t="s">
        <v>572</v>
      </c>
      <c r="D24" s="252" t="s">
        <v>594</v>
      </c>
      <c r="E24" s="251">
        <f>SUM(E25:E27)</f>
        <v>4647969.9800000004</v>
      </c>
      <c r="F24" s="251">
        <f t="shared" si="1"/>
        <v>677546.64431486884</v>
      </c>
      <c r="G24" s="251" t="s">
        <v>571</v>
      </c>
      <c r="H24" s="231" t="s">
        <v>540</v>
      </c>
      <c r="I24" s="264" t="s">
        <v>573</v>
      </c>
      <c r="J24" s="216" t="s">
        <v>214</v>
      </c>
      <c r="K24" s="216" t="s">
        <v>214</v>
      </c>
      <c r="L24" s="264" t="s">
        <v>574</v>
      </c>
      <c r="M24" s="264" t="s">
        <v>577</v>
      </c>
      <c r="N24" s="264" t="s">
        <v>576</v>
      </c>
      <c r="O24" s="264" t="s">
        <v>214</v>
      </c>
      <c r="P24" s="264" t="s">
        <v>214</v>
      </c>
      <c r="Q24" s="264" t="s">
        <v>575</v>
      </c>
      <c r="R24" s="315"/>
      <c r="S24" s="315"/>
      <c r="T24" s="280"/>
      <c r="U24" s="263">
        <f>SUM(U25:U27)</f>
        <v>4221987.9000000004</v>
      </c>
      <c r="V24" s="221"/>
      <c r="W24" s="221"/>
      <c r="X24" s="290">
        <f>+U24/6.86</f>
        <v>615450.1311953353</v>
      </c>
      <c r="Y24" s="477" t="s">
        <v>706</v>
      </c>
    </row>
    <row r="25" spans="1:26" s="219" customFormat="1" ht="27" customHeight="1" x14ac:dyDescent="0.25">
      <c r="A25" s="474"/>
      <c r="B25" s="474"/>
      <c r="C25" s="474"/>
      <c r="D25" s="214" t="s">
        <v>561</v>
      </c>
      <c r="E25" s="254">
        <v>2015238.34</v>
      </c>
      <c r="F25" s="215">
        <f t="shared" si="1"/>
        <v>293766.5218658892</v>
      </c>
      <c r="G25" s="217" t="s">
        <v>571</v>
      </c>
      <c r="H25" s="75" t="s">
        <v>563</v>
      </c>
      <c r="I25" s="264" t="s">
        <v>573</v>
      </c>
      <c r="J25" s="216" t="s">
        <v>214</v>
      </c>
      <c r="K25" s="216" t="s">
        <v>214</v>
      </c>
      <c r="L25" s="241" t="s">
        <v>586</v>
      </c>
      <c r="M25" s="241" t="s">
        <v>624</v>
      </c>
      <c r="N25" s="241" t="s">
        <v>625</v>
      </c>
      <c r="O25" s="241" t="s">
        <v>214</v>
      </c>
      <c r="P25" s="241" t="s">
        <v>214</v>
      </c>
      <c r="Q25" s="241" t="s">
        <v>627</v>
      </c>
      <c r="R25" s="315" t="s">
        <v>673</v>
      </c>
      <c r="S25" s="315" t="s">
        <v>674</v>
      </c>
      <c r="T25" s="280" t="s">
        <v>616</v>
      </c>
      <c r="U25" s="261">
        <v>1774760.22</v>
      </c>
      <c r="V25" s="261">
        <v>0</v>
      </c>
      <c r="W25" s="221">
        <f>+U25+V25</f>
        <v>1774760.22</v>
      </c>
      <c r="X25" s="222"/>
      <c r="Y25" s="482"/>
    </row>
    <row r="26" spans="1:26" s="219" customFormat="1" ht="30.6" customHeight="1" x14ac:dyDescent="0.25">
      <c r="A26" s="474"/>
      <c r="B26" s="474"/>
      <c r="C26" s="474"/>
      <c r="D26" s="214" t="s">
        <v>556</v>
      </c>
      <c r="E26" s="254">
        <v>1440836.9</v>
      </c>
      <c r="F26" s="215">
        <f t="shared" si="1"/>
        <v>210034.53352769677</v>
      </c>
      <c r="G26" s="217" t="s">
        <v>571</v>
      </c>
      <c r="H26" s="75" t="s">
        <v>563</v>
      </c>
      <c r="I26" s="264" t="s">
        <v>573</v>
      </c>
      <c r="J26" s="216" t="s">
        <v>214</v>
      </c>
      <c r="K26" s="216" t="s">
        <v>214</v>
      </c>
      <c r="L26" s="241" t="s">
        <v>586</v>
      </c>
      <c r="M26" s="241" t="s">
        <v>624</v>
      </c>
      <c r="N26" s="241" t="s">
        <v>625</v>
      </c>
      <c r="O26" s="241" t="s">
        <v>214</v>
      </c>
      <c r="P26" s="241" t="s">
        <v>214</v>
      </c>
      <c r="Q26" s="241" t="s">
        <v>627</v>
      </c>
      <c r="R26" s="315" t="s">
        <v>676</v>
      </c>
      <c r="S26" s="315" t="s">
        <v>677</v>
      </c>
      <c r="T26" s="280" t="s">
        <v>616</v>
      </c>
      <c r="U26" s="261">
        <v>1352194.49</v>
      </c>
      <c r="V26" s="261">
        <v>0</v>
      </c>
      <c r="W26" s="221">
        <f t="shared" ref="W26:W31" si="2">+U26+V26</f>
        <v>1352194.49</v>
      </c>
      <c r="X26" s="222"/>
      <c r="Y26" s="482"/>
    </row>
    <row r="27" spans="1:26" s="219" customFormat="1" ht="28.9" customHeight="1" x14ac:dyDescent="0.25">
      <c r="A27" s="475"/>
      <c r="B27" s="475"/>
      <c r="C27" s="475"/>
      <c r="D27" s="218" t="s">
        <v>557</v>
      </c>
      <c r="E27" s="253">
        <v>1191894.74</v>
      </c>
      <c r="F27" s="215">
        <f t="shared" si="1"/>
        <v>173745.58892128279</v>
      </c>
      <c r="G27" s="217" t="s">
        <v>571</v>
      </c>
      <c r="H27" s="75" t="s">
        <v>563</v>
      </c>
      <c r="I27" s="264" t="s">
        <v>573</v>
      </c>
      <c r="J27" s="216" t="s">
        <v>214</v>
      </c>
      <c r="K27" s="216" t="s">
        <v>214</v>
      </c>
      <c r="L27" s="241" t="s">
        <v>586</v>
      </c>
      <c r="M27" s="241" t="s">
        <v>624</v>
      </c>
      <c r="N27" s="241" t="s">
        <v>625</v>
      </c>
      <c r="O27" s="241" t="s">
        <v>214</v>
      </c>
      <c r="P27" s="241" t="s">
        <v>214</v>
      </c>
      <c r="Q27" s="241" t="s">
        <v>627</v>
      </c>
      <c r="R27" s="315" t="s">
        <v>671</v>
      </c>
      <c r="S27" s="315" t="s">
        <v>679</v>
      </c>
      <c r="T27" s="280" t="s">
        <v>616</v>
      </c>
      <c r="U27" s="261">
        <v>1095033.19</v>
      </c>
      <c r="V27" s="261">
        <v>0</v>
      </c>
      <c r="W27" s="221">
        <f t="shared" si="2"/>
        <v>1095033.19</v>
      </c>
      <c r="X27" s="222"/>
      <c r="Y27" s="478"/>
    </row>
    <row r="28" spans="1:26" s="219" customFormat="1" ht="30" customHeight="1" x14ac:dyDescent="0.25">
      <c r="A28" s="473">
        <v>5</v>
      </c>
      <c r="B28" s="473" t="s">
        <v>508</v>
      </c>
      <c r="C28" s="473" t="s">
        <v>572</v>
      </c>
      <c r="D28" s="252" t="s">
        <v>595</v>
      </c>
      <c r="E28" s="251">
        <f>SUM(E29:E31)</f>
        <v>6116871.2600000007</v>
      </c>
      <c r="F28" s="251">
        <f t="shared" si="1"/>
        <v>891672.19533527701</v>
      </c>
      <c r="G28" s="256" t="s">
        <v>539</v>
      </c>
      <c r="H28" s="231" t="s">
        <v>540</v>
      </c>
      <c r="I28" s="264" t="s">
        <v>573</v>
      </c>
      <c r="J28" s="264" t="s">
        <v>573</v>
      </c>
      <c r="K28" s="264" t="s">
        <v>574</v>
      </c>
      <c r="L28" s="264" t="s">
        <v>574</v>
      </c>
      <c r="M28" s="264" t="s">
        <v>577</v>
      </c>
      <c r="N28" s="264" t="s">
        <v>576</v>
      </c>
      <c r="O28" s="264" t="s">
        <v>578</v>
      </c>
      <c r="P28" s="264" t="s">
        <v>565</v>
      </c>
      <c r="Q28" s="264" t="s">
        <v>575</v>
      </c>
      <c r="R28" s="315"/>
      <c r="S28" s="315"/>
      <c r="T28" s="280"/>
      <c r="U28" s="262">
        <f>SUM(U29:U31)</f>
        <v>5140226.3899999997</v>
      </c>
      <c r="V28" s="221"/>
      <c r="W28" s="221"/>
      <c r="X28" s="290">
        <f>+U28/6.86</f>
        <v>749304.13848396495</v>
      </c>
      <c r="Y28" s="477" t="s">
        <v>706</v>
      </c>
    </row>
    <row r="29" spans="1:26" s="219" customFormat="1" ht="33.6" customHeight="1" x14ac:dyDescent="0.25">
      <c r="A29" s="474"/>
      <c r="B29" s="474"/>
      <c r="C29" s="474"/>
      <c r="D29" s="236" t="s">
        <v>544</v>
      </c>
      <c r="E29" s="254">
        <v>3340703.06</v>
      </c>
      <c r="F29" s="239">
        <f t="shared" si="1"/>
        <v>486982.95335276966</v>
      </c>
      <c r="G29" s="238" t="s">
        <v>539</v>
      </c>
      <c r="H29" s="77" t="s">
        <v>563</v>
      </c>
      <c r="I29" s="264" t="s">
        <v>573</v>
      </c>
      <c r="J29" s="264" t="s">
        <v>573</v>
      </c>
      <c r="K29" s="264" t="s">
        <v>574</v>
      </c>
      <c r="L29" s="241" t="s">
        <v>587</v>
      </c>
      <c r="M29" s="241" t="s">
        <v>588</v>
      </c>
      <c r="N29" s="241" t="s">
        <v>628</v>
      </c>
      <c r="O29" s="241" t="s">
        <v>660</v>
      </c>
      <c r="P29" s="241" t="s">
        <v>657</v>
      </c>
      <c r="Q29" s="241" t="s">
        <v>661</v>
      </c>
      <c r="R29" s="315" t="s">
        <v>683</v>
      </c>
      <c r="S29" s="315" t="s">
        <v>678</v>
      </c>
      <c r="T29" s="280" t="s">
        <v>629</v>
      </c>
      <c r="U29" s="261">
        <v>2724204</v>
      </c>
      <c r="V29" s="261">
        <v>0</v>
      </c>
      <c r="W29" s="221">
        <f t="shared" si="2"/>
        <v>2724204</v>
      </c>
      <c r="X29" s="222"/>
      <c r="Y29" s="482"/>
    </row>
    <row r="30" spans="1:26" s="219" customFormat="1" ht="34.15" customHeight="1" x14ac:dyDescent="0.25">
      <c r="A30" s="474"/>
      <c r="B30" s="474"/>
      <c r="C30" s="474"/>
      <c r="D30" s="236" t="s">
        <v>558</v>
      </c>
      <c r="E30" s="254">
        <v>1684368.09</v>
      </c>
      <c r="F30" s="239">
        <f t="shared" si="1"/>
        <v>245534.70699708455</v>
      </c>
      <c r="G30" s="238" t="s">
        <v>539</v>
      </c>
      <c r="H30" s="77" t="s">
        <v>563</v>
      </c>
      <c r="I30" s="264" t="s">
        <v>573</v>
      </c>
      <c r="J30" s="264" t="s">
        <v>573</v>
      </c>
      <c r="K30" s="264" t="s">
        <v>574</v>
      </c>
      <c r="L30" s="241" t="s">
        <v>587</v>
      </c>
      <c r="M30" s="241" t="s">
        <v>588</v>
      </c>
      <c r="N30" s="241" t="s">
        <v>628</v>
      </c>
      <c r="O30" s="241" t="s">
        <v>660</v>
      </c>
      <c r="P30" s="241" t="s">
        <v>657</v>
      </c>
      <c r="Q30" s="241" t="s">
        <v>661</v>
      </c>
      <c r="R30" s="315" t="s">
        <v>683</v>
      </c>
      <c r="S30" s="315" t="s">
        <v>684</v>
      </c>
      <c r="T30" s="280" t="s">
        <v>629</v>
      </c>
      <c r="U30" s="261">
        <v>1369492.59</v>
      </c>
      <c r="V30" s="261">
        <v>0</v>
      </c>
      <c r="W30" s="221">
        <f t="shared" si="2"/>
        <v>1369492.59</v>
      </c>
      <c r="X30" s="222"/>
      <c r="Y30" s="482"/>
    </row>
    <row r="31" spans="1:26" s="219" customFormat="1" ht="34.5" customHeight="1" x14ac:dyDescent="0.25">
      <c r="A31" s="475"/>
      <c r="B31" s="475"/>
      <c r="C31" s="475"/>
      <c r="D31" s="235" t="s">
        <v>555</v>
      </c>
      <c r="E31" s="253">
        <v>1091800.1100000001</v>
      </c>
      <c r="F31" s="239">
        <f t="shared" si="1"/>
        <v>159154.53498542274</v>
      </c>
      <c r="G31" s="238" t="s">
        <v>539</v>
      </c>
      <c r="H31" s="77" t="s">
        <v>563</v>
      </c>
      <c r="I31" s="264" t="s">
        <v>573</v>
      </c>
      <c r="J31" s="264" t="s">
        <v>573</v>
      </c>
      <c r="K31" s="264" t="s">
        <v>574</v>
      </c>
      <c r="L31" s="241" t="s">
        <v>587</v>
      </c>
      <c r="M31" s="241" t="s">
        <v>588</v>
      </c>
      <c r="N31" s="241" t="s">
        <v>628</v>
      </c>
      <c r="O31" s="241" t="s">
        <v>660</v>
      </c>
      <c r="P31" s="241" t="s">
        <v>657</v>
      </c>
      <c r="Q31" s="241" t="s">
        <v>661</v>
      </c>
      <c r="R31" s="315" t="s">
        <v>681</v>
      </c>
      <c r="S31" s="315" t="s">
        <v>682</v>
      </c>
      <c r="T31" s="280" t="s">
        <v>629</v>
      </c>
      <c r="U31" s="261">
        <v>1046529.8</v>
      </c>
      <c r="V31" s="261">
        <v>0</v>
      </c>
      <c r="W31" s="221">
        <f t="shared" si="2"/>
        <v>1046529.8</v>
      </c>
      <c r="X31" s="222"/>
      <c r="Y31" s="478"/>
    </row>
    <row r="32" spans="1:26" s="219" customFormat="1" ht="34.15" customHeight="1" x14ac:dyDescent="0.25">
      <c r="A32" s="473">
        <v>6</v>
      </c>
      <c r="B32" s="473" t="s">
        <v>508</v>
      </c>
      <c r="C32" s="473" t="s">
        <v>572</v>
      </c>
      <c r="D32" s="252" t="s">
        <v>596</v>
      </c>
      <c r="E32" s="251">
        <f>SUM(E33:E35)</f>
        <v>11492212.010000002</v>
      </c>
      <c r="F32" s="251">
        <f t="shared" si="1"/>
        <v>1675249.5641399419</v>
      </c>
      <c r="G32" s="251" t="s">
        <v>571</v>
      </c>
      <c r="H32" s="231" t="s">
        <v>540</v>
      </c>
      <c r="I32" s="264" t="s">
        <v>573</v>
      </c>
      <c r="J32" s="216" t="s">
        <v>214</v>
      </c>
      <c r="K32" s="216" t="s">
        <v>214</v>
      </c>
      <c r="L32" s="264" t="s">
        <v>574</v>
      </c>
      <c r="M32" s="264" t="s">
        <v>577</v>
      </c>
      <c r="N32" s="264" t="s">
        <v>576</v>
      </c>
      <c r="O32" s="264" t="s">
        <v>214</v>
      </c>
      <c r="P32" s="264" t="s">
        <v>214</v>
      </c>
      <c r="Q32" s="264" t="s">
        <v>575</v>
      </c>
      <c r="R32" s="315"/>
      <c r="S32" s="315"/>
      <c r="T32" s="280"/>
      <c r="U32" s="262">
        <f>SUM(U33:U35)</f>
        <v>9197658.6600000001</v>
      </c>
      <c r="V32" s="221"/>
      <c r="W32" s="221"/>
      <c r="X32" s="290">
        <f>+U32/6.86</f>
        <v>1340766.5685131196</v>
      </c>
      <c r="Y32" s="477" t="s">
        <v>706</v>
      </c>
    </row>
    <row r="33" spans="1:25" s="219" customFormat="1" ht="32.25" customHeight="1" x14ac:dyDescent="0.25">
      <c r="A33" s="474"/>
      <c r="B33" s="474"/>
      <c r="C33" s="474"/>
      <c r="D33" s="235" t="s">
        <v>562</v>
      </c>
      <c r="E33" s="253">
        <v>4326515.25</v>
      </c>
      <c r="F33" s="239">
        <f t="shared" si="1"/>
        <v>630687.35422740527</v>
      </c>
      <c r="G33" s="238" t="s">
        <v>571</v>
      </c>
      <c r="H33" s="77" t="s">
        <v>563</v>
      </c>
      <c r="I33" s="264" t="s">
        <v>573</v>
      </c>
      <c r="J33" s="216" t="s">
        <v>214</v>
      </c>
      <c r="K33" s="216" t="s">
        <v>214</v>
      </c>
      <c r="L33" s="220" t="s">
        <v>586</v>
      </c>
      <c r="M33" s="220" t="s">
        <v>624</v>
      </c>
      <c r="N33" s="220" t="s">
        <v>577</v>
      </c>
      <c r="O33" s="264" t="s">
        <v>214</v>
      </c>
      <c r="P33" s="264" t="s">
        <v>214</v>
      </c>
      <c r="Q33" s="220" t="s">
        <v>618</v>
      </c>
      <c r="R33" s="315" t="s">
        <v>685</v>
      </c>
      <c r="S33" s="315" t="s">
        <v>686</v>
      </c>
      <c r="T33" s="280" t="s">
        <v>617</v>
      </c>
      <c r="U33" s="261">
        <v>3336526.89</v>
      </c>
      <c r="V33" s="261">
        <v>0</v>
      </c>
      <c r="W33" s="221">
        <f>+U33+V33</f>
        <v>3336526.89</v>
      </c>
      <c r="X33" s="222"/>
      <c r="Y33" s="482"/>
    </row>
    <row r="34" spans="1:25" s="219" customFormat="1" ht="33" customHeight="1" x14ac:dyDescent="0.25">
      <c r="A34" s="474"/>
      <c r="B34" s="474"/>
      <c r="C34" s="474"/>
      <c r="D34" s="236" t="s">
        <v>548</v>
      </c>
      <c r="E34" s="254">
        <v>3803338.31</v>
      </c>
      <c r="F34" s="239">
        <f t="shared" si="1"/>
        <v>554422.49416909623</v>
      </c>
      <c r="G34" s="217" t="s">
        <v>571</v>
      </c>
      <c r="H34" s="77" t="s">
        <v>563</v>
      </c>
      <c r="I34" s="264" t="s">
        <v>573</v>
      </c>
      <c r="J34" s="216" t="s">
        <v>214</v>
      </c>
      <c r="K34" s="216" t="s">
        <v>214</v>
      </c>
      <c r="L34" s="220" t="s">
        <v>586</v>
      </c>
      <c r="M34" s="220" t="s">
        <v>624</v>
      </c>
      <c r="N34" s="220" t="s">
        <v>577</v>
      </c>
      <c r="O34" s="264" t="s">
        <v>214</v>
      </c>
      <c r="P34" s="264" t="s">
        <v>214</v>
      </c>
      <c r="Q34" s="220" t="s">
        <v>618</v>
      </c>
      <c r="R34" s="315" t="s">
        <v>685</v>
      </c>
      <c r="S34" s="315" t="s">
        <v>672</v>
      </c>
      <c r="T34" s="280" t="s">
        <v>617</v>
      </c>
      <c r="U34" s="261">
        <v>3175805.16</v>
      </c>
      <c r="V34" s="261">
        <v>0</v>
      </c>
      <c r="W34" s="221">
        <f t="shared" ref="W34:W35" si="3">+U34+V34</f>
        <v>3175805.16</v>
      </c>
      <c r="X34" s="222"/>
      <c r="Y34" s="482"/>
    </row>
    <row r="35" spans="1:25" s="219" customFormat="1" ht="31.9" customHeight="1" x14ac:dyDescent="0.25">
      <c r="A35" s="475"/>
      <c r="B35" s="475"/>
      <c r="C35" s="475"/>
      <c r="D35" s="236" t="s">
        <v>543</v>
      </c>
      <c r="E35" s="254">
        <v>3362358.45</v>
      </c>
      <c r="F35" s="239">
        <f t="shared" si="1"/>
        <v>490139.71574344026</v>
      </c>
      <c r="G35" s="217" t="s">
        <v>571</v>
      </c>
      <c r="H35" s="77" t="s">
        <v>563</v>
      </c>
      <c r="I35" s="264" t="s">
        <v>573</v>
      </c>
      <c r="J35" s="216" t="s">
        <v>214</v>
      </c>
      <c r="K35" s="216" t="s">
        <v>214</v>
      </c>
      <c r="L35" s="220" t="s">
        <v>586</v>
      </c>
      <c r="M35" s="220" t="s">
        <v>624</v>
      </c>
      <c r="N35" s="220" t="s">
        <v>577</v>
      </c>
      <c r="O35" s="264" t="s">
        <v>214</v>
      </c>
      <c r="P35" s="264" t="s">
        <v>214</v>
      </c>
      <c r="Q35" s="220" t="s">
        <v>618</v>
      </c>
      <c r="R35" s="315" t="s">
        <v>671</v>
      </c>
      <c r="S35" s="315" t="s">
        <v>690</v>
      </c>
      <c r="T35" s="280" t="s">
        <v>617</v>
      </c>
      <c r="U35" s="261">
        <v>2685326.61</v>
      </c>
      <c r="V35" s="261">
        <v>0</v>
      </c>
      <c r="W35" s="221">
        <f t="shared" si="3"/>
        <v>2685326.61</v>
      </c>
      <c r="X35" s="222"/>
      <c r="Y35" s="478"/>
    </row>
    <row r="36" spans="1:25" s="219" customFormat="1" ht="27.6" customHeight="1" x14ac:dyDescent="0.25">
      <c r="A36" s="473">
        <v>7</v>
      </c>
      <c r="B36" s="473" t="s">
        <v>508</v>
      </c>
      <c r="C36" s="473" t="s">
        <v>572</v>
      </c>
      <c r="D36" s="252" t="s">
        <v>597</v>
      </c>
      <c r="E36" s="251">
        <f>SUM(E37:E39)</f>
        <v>9484047.0200000014</v>
      </c>
      <c r="F36" s="251">
        <f t="shared" si="1"/>
        <v>1382514.142857143</v>
      </c>
      <c r="G36" s="251" t="s">
        <v>571</v>
      </c>
      <c r="H36" s="232" t="s">
        <v>540</v>
      </c>
      <c r="I36" s="264" t="s">
        <v>573</v>
      </c>
      <c r="J36" s="216" t="s">
        <v>214</v>
      </c>
      <c r="K36" s="216" t="s">
        <v>214</v>
      </c>
      <c r="L36" s="264" t="s">
        <v>574</v>
      </c>
      <c r="M36" s="264" t="s">
        <v>577</v>
      </c>
      <c r="N36" s="264" t="s">
        <v>576</v>
      </c>
      <c r="O36" s="264" t="s">
        <v>214</v>
      </c>
      <c r="P36" s="264" t="s">
        <v>214</v>
      </c>
      <c r="Q36" s="264" t="s">
        <v>575</v>
      </c>
      <c r="R36" s="315"/>
      <c r="S36" s="315"/>
      <c r="T36" s="280"/>
      <c r="U36" s="263">
        <f>SUM(U37:U39)</f>
        <v>8009252.4600000009</v>
      </c>
      <c r="V36" s="221"/>
      <c r="W36" s="221"/>
      <c r="X36" s="290">
        <f>+U36/6.86</f>
        <v>1167529.5131195337</v>
      </c>
      <c r="Y36" s="323"/>
    </row>
    <row r="37" spans="1:25" s="219" customFormat="1" ht="18" customHeight="1" x14ac:dyDescent="0.25">
      <c r="A37" s="474"/>
      <c r="B37" s="474"/>
      <c r="C37" s="474"/>
      <c r="D37" s="236" t="s">
        <v>551</v>
      </c>
      <c r="E37" s="254">
        <v>4044522.87</v>
      </c>
      <c r="F37" s="239">
        <f t="shared" si="1"/>
        <v>589580.59329446068</v>
      </c>
      <c r="G37" s="238" t="s">
        <v>571</v>
      </c>
      <c r="H37" s="75" t="s">
        <v>563</v>
      </c>
      <c r="I37" s="264" t="s">
        <v>573</v>
      </c>
      <c r="J37" s="216" t="s">
        <v>214</v>
      </c>
      <c r="K37" s="216" t="s">
        <v>214</v>
      </c>
      <c r="L37" s="220" t="s">
        <v>586</v>
      </c>
      <c r="M37" s="220" t="s">
        <v>624</v>
      </c>
      <c r="N37" s="220" t="s">
        <v>625</v>
      </c>
      <c r="O37" s="264" t="s">
        <v>214</v>
      </c>
      <c r="P37" s="264" t="s">
        <v>214</v>
      </c>
      <c r="Q37" s="220" t="s">
        <v>630</v>
      </c>
      <c r="R37" s="315" t="s">
        <v>691</v>
      </c>
      <c r="S37" s="315" t="s">
        <v>692</v>
      </c>
      <c r="T37" s="280" t="s">
        <v>620</v>
      </c>
      <c r="U37" s="261">
        <v>3525140.24</v>
      </c>
      <c r="V37" s="261">
        <v>0</v>
      </c>
      <c r="W37" s="221">
        <f>+U37+V37</f>
        <v>3525140.24</v>
      </c>
      <c r="X37" s="222"/>
      <c r="Y37" s="324" t="s">
        <v>706</v>
      </c>
    </row>
    <row r="38" spans="1:25" s="219" customFormat="1" ht="22.15" customHeight="1" x14ac:dyDescent="0.25">
      <c r="A38" s="474"/>
      <c r="B38" s="474"/>
      <c r="C38" s="474"/>
      <c r="D38" s="218" t="s">
        <v>550</v>
      </c>
      <c r="E38" s="253">
        <v>4447299.18</v>
      </c>
      <c r="F38" s="215">
        <f t="shared" si="1"/>
        <v>648294.34110787162</v>
      </c>
      <c r="G38" s="217" t="s">
        <v>571</v>
      </c>
      <c r="H38" s="75" t="s">
        <v>563</v>
      </c>
      <c r="I38" s="264" t="s">
        <v>573</v>
      </c>
      <c r="J38" s="216" t="s">
        <v>214</v>
      </c>
      <c r="K38" s="216" t="s">
        <v>214</v>
      </c>
      <c r="L38" s="220" t="s">
        <v>586</v>
      </c>
      <c r="M38" s="220" t="s">
        <v>624</v>
      </c>
      <c r="N38" s="220" t="s">
        <v>625</v>
      </c>
      <c r="O38" s="264" t="s">
        <v>214</v>
      </c>
      <c r="P38" s="264" t="s">
        <v>214</v>
      </c>
      <c r="Q38" s="220" t="s">
        <v>630</v>
      </c>
      <c r="R38" s="320"/>
      <c r="S38" s="320"/>
      <c r="T38" s="280" t="s">
        <v>620</v>
      </c>
      <c r="U38" s="261">
        <v>3633253.31</v>
      </c>
      <c r="V38" s="261">
        <v>0</v>
      </c>
      <c r="W38" s="221">
        <f t="shared" ref="W38" si="4">+U38+V38</f>
        <v>3633253.31</v>
      </c>
      <c r="X38" s="222"/>
      <c r="Y38" s="324" t="s">
        <v>707</v>
      </c>
    </row>
    <row r="39" spans="1:25" s="219" customFormat="1" ht="18" customHeight="1" x14ac:dyDescent="0.25">
      <c r="A39" s="475"/>
      <c r="B39" s="475"/>
      <c r="C39" s="475"/>
      <c r="D39" s="214" t="s">
        <v>560</v>
      </c>
      <c r="E39" s="254">
        <v>992224.97</v>
      </c>
      <c r="F39" s="215">
        <f t="shared" ref="F39:F43" si="5">+E39/6.86</f>
        <v>144639.20845481049</v>
      </c>
      <c r="G39" s="217" t="s">
        <v>571</v>
      </c>
      <c r="H39" s="75" t="s">
        <v>563</v>
      </c>
      <c r="I39" s="264" t="s">
        <v>573</v>
      </c>
      <c r="J39" s="216" t="s">
        <v>214</v>
      </c>
      <c r="K39" s="216" t="s">
        <v>214</v>
      </c>
      <c r="L39" s="220" t="s">
        <v>586</v>
      </c>
      <c r="M39" s="220" t="s">
        <v>624</v>
      </c>
      <c r="N39" s="220" t="s">
        <v>625</v>
      </c>
      <c r="O39" s="264" t="s">
        <v>214</v>
      </c>
      <c r="P39" s="264" t="s">
        <v>214</v>
      </c>
      <c r="Q39" s="220" t="s">
        <v>630</v>
      </c>
      <c r="R39" s="315" t="s">
        <v>693</v>
      </c>
      <c r="S39" s="315" t="s">
        <v>694</v>
      </c>
      <c r="T39" s="280" t="s">
        <v>620</v>
      </c>
      <c r="U39" s="261">
        <v>850858.91</v>
      </c>
      <c r="V39" s="261">
        <v>0</v>
      </c>
      <c r="W39" s="221">
        <f t="shared" ref="W39" si="6">+U39+V39</f>
        <v>850858.91</v>
      </c>
      <c r="X39" s="222"/>
      <c r="Y39" s="324" t="s">
        <v>706</v>
      </c>
    </row>
    <row r="40" spans="1:25" s="219" customFormat="1" ht="18" customHeight="1" x14ac:dyDescent="0.25">
      <c r="A40" s="500">
        <v>8</v>
      </c>
      <c r="B40" s="473" t="s">
        <v>508</v>
      </c>
      <c r="C40" s="473" t="s">
        <v>572</v>
      </c>
      <c r="D40" s="266" t="s">
        <v>649</v>
      </c>
      <c r="E40" s="267">
        <f>SUM(E41:E43)</f>
        <v>6818911.3190000001</v>
      </c>
      <c r="F40" s="267">
        <f t="shared" si="5"/>
        <v>994010.39635568508</v>
      </c>
      <c r="G40" s="279" t="s">
        <v>571</v>
      </c>
      <c r="H40" s="268" t="s">
        <v>540</v>
      </c>
      <c r="I40" s="264" t="s">
        <v>653</v>
      </c>
      <c r="J40" s="216" t="s">
        <v>214</v>
      </c>
      <c r="K40" s="216" t="s">
        <v>214</v>
      </c>
      <c r="L40" s="241" t="s">
        <v>709</v>
      </c>
      <c r="M40" s="241" t="s">
        <v>710</v>
      </c>
      <c r="N40" s="241" t="s">
        <v>708</v>
      </c>
      <c r="O40" s="216" t="s">
        <v>214</v>
      </c>
      <c r="P40" s="216" t="s">
        <v>214</v>
      </c>
      <c r="Q40" s="264" t="s">
        <v>711</v>
      </c>
      <c r="R40" s="315"/>
      <c r="S40" s="315"/>
      <c r="T40" s="280"/>
      <c r="U40" s="221"/>
      <c r="V40" s="221"/>
      <c r="W40" s="221"/>
      <c r="X40" s="222"/>
      <c r="Y40" s="477" t="s">
        <v>712</v>
      </c>
    </row>
    <row r="41" spans="1:25" s="219" customFormat="1" ht="18" customHeight="1" x14ac:dyDescent="0.25">
      <c r="A41" s="500"/>
      <c r="B41" s="474"/>
      <c r="C41" s="474"/>
      <c r="D41" s="237" t="s">
        <v>650</v>
      </c>
      <c r="E41" s="254">
        <v>3932752.2420000001</v>
      </c>
      <c r="F41" s="215">
        <f t="shared" si="5"/>
        <v>573287.49883381918</v>
      </c>
      <c r="G41" s="238" t="s">
        <v>571</v>
      </c>
      <c r="H41" s="75" t="s">
        <v>563</v>
      </c>
      <c r="I41" s="264"/>
      <c r="J41" s="264"/>
      <c r="K41" s="241"/>
      <c r="L41" s="241"/>
      <c r="M41" s="241"/>
      <c r="N41" s="241"/>
      <c r="O41" s="264"/>
      <c r="P41" s="264"/>
      <c r="Q41" s="241"/>
      <c r="R41" s="320"/>
      <c r="S41" s="320"/>
      <c r="T41" s="280"/>
      <c r="U41" s="221"/>
      <c r="V41" s="261"/>
      <c r="W41" s="221"/>
      <c r="X41" s="222"/>
      <c r="Y41" s="482"/>
    </row>
    <row r="42" spans="1:25" s="219" customFormat="1" ht="25.5" customHeight="1" x14ac:dyDescent="0.25">
      <c r="A42" s="500"/>
      <c r="B42" s="474"/>
      <c r="C42" s="474"/>
      <c r="D42" s="214" t="s">
        <v>651</v>
      </c>
      <c r="E42" s="254">
        <v>828279.66</v>
      </c>
      <c r="F42" s="215">
        <f t="shared" si="5"/>
        <v>120740.47521865889</v>
      </c>
      <c r="G42" s="217" t="s">
        <v>571</v>
      </c>
      <c r="H42" s="75" t="s">
        <v>563</v>
      </c>
      <c r="I42" s="264"/>
      <c r="J42" s="216"/>
      <c r="K42" s="216"/>
      <c r="L42" s="241"/>
      <c r="M42" s="241"/>
      <c r="N42" s="241"/>
      <c r="O42" s="264"/>
      <c r="P42" s="264"/>
      <c r="Q42" s="241"/>
      <c r="R42" s="320"/>
      <c r="S42" s="320"/>
      <c r="T42" s="280"/>
      <c r="U42" s="221"/>
      <c r="V42" s="261"/>
      <c r="W42" s="221"/>
      <c r="X42" s="222"/>
      <c r="Y42" s="482"/>
    </row>
    <row r="43" spans="1:25" s="219" customFormat="1" ht="18" customHeight="1" x14ac:dyDescent="0.25">
      <c r="A43" s="500"/>
      <c r="B43" s="475"/>
      <c r="C43" s="475"/>
      <c r="D43" s="218" t="s">
        <v>652</v>
      </c>
      <c r="E43" s="255">
        <v>2057879.4169999999</v>
      </c>
      <c r="F43" s="215">
        <f t="shared" si="5"/>
        <v>299982.42230320699</v>
      </c>
      <c r="G43" s="217" t="s">
        <v>571</v>
      </c>
      <c r="H43" s="75" t="s">
        <v>563</v>
      </c>
      <c r="I43" s="254"/>
      <c r="J43" s="216"/>
      <c r="K43" s="216"/>
      <c r="L43" s="241"/>
      <c r="M43" s="241"/>
      <c r="N43" s="241"/>
      <c r="O43" s="264"/>
      <c r="P43" s="264"/>
      <c r="Q43" s="241"/>
      <c r="R43" s="320"/>
      <c r="S43" s="320"/>
      <c r="T43" s="280"/>
      <c r="U43" s="221"/>
      <c r="V43" s="261"/>
      <c r="W43" s="221"/>
      <c r="X43" s="222"/>
      <c r="Y43" s="478"/>
    </row>
    <row r="44" spans="1:25" s="219" customFormat="1" ht="31.5" customHeight="1" x14ac:dyDescent="0.25">
      <c r="A44" s="497" t="s">
        <v>584</v>
      </c>
      <c r="B44" s="498"/>
      <c r="C44" s="498"/>
      <c r="D44" s="499"/>
      <c r="E44" s="242">
        <f>SUM(E45:E92)</f>
        <v>3256890</v>
      </c>
      <c r="F44" s="242">
        <f t="shared" si="1"/>
        <v>474765.30612244894</v>
      </c>
      <c r="G44" s="243"/>
      <c r="H44" s="244"/>
      <c r="I44" s="245"/>
      <c r="J44" s="245"/>
      <c r="K44" s="245"/>
      <c r="L44" s="245"/>
      <c r="M44" s="245"/>
      <c r="N44" s="245"/>
      <c r="O44" s="245"/>
      <c r="P44" s="245"/>
      <c r="Q44" s="245"/>
      <c r="R44" s="317"/>
      <c r="S44" s="317"/>
      <c r="T44" s="283"/>
      <c r="U44" s="292">
        <f>+U45+U47+U49+U51+U53+U55+U57+U59+U61+U63+U65+U67+U69+U71+U73+U75+U77+U79+U81+U83+U85</f>
        <v>2897300</v>
      </c>
      <c r="V44" s="246"/>
      <c r="W44" s="246"/>
      <c r="X44" s="293">
        <f>+X45+X47+X49+X51+X53+X55+X57+X59+X61+X63+X65+X67+X69+X71+X73+X75+X77+X79+X81+X83+X85</f>
        <v>422346.93877551018</v>
      </c>
      <c r="Y44" s="247"/>
    </row>
    <row r="45" spans="1:25" s="184" customFormat="1" ht="24.75" customHeight="1" x14ac:dyDescent="0.2">
      <c r="A45" s="473">
        <v>9</v>
      </c>
      <c r="B45" s="473" t="s">
        <v>511</v>
      </c>
      <c r="C45" s="491" t="s">
        <v>510</v>
      </c>
      <c r="D45" s="493" t="s">
        <v>570</v>
      </c>
      <c r="E45" s="477">
        <v>110000</v>
      </c>
      <c r="F45" s="477">
        <f t="shared" ref="F45:F91" si="7">+E45/6.86</f>
        <v>16034.985422740525</v>
      </c>
      <c r="G45" s="477" t="s">
        <v>538</v>
      </c>
      <c r="H45" s="231" t="s">
        <v>540</v>
      </c>
      <c r="I45" s="240" t="s">
        <v>580</v>
      </c>
      <c r="J45" s="216" t="s">
        <v>214</v>
      </c>
      <c r="K45" s="216" t="s">
        <v>214</v>
      </c>
      <c r="L45" s="264" t="s">
        <v>598</v>
      </c>
      <c r="M45" s="264" t="s">
        <v>589</v>
      </c>
      <c r="N45" s="216" t="s">
        <v>214</v>
      </c>
      <c r="O45" s="216" t="s">
        <v>214</v>
      </c>
      <c r="P45" s="216" t="s">
        <v>214</v>
      </c>
      <c r="Q45" s="264" t="s">
        <v>576</v>
      </c>
      <c r="R45" s="315" t="s">
        <v>671</v>
      </c>
      <c r="S45" s="315" t="s">
        <v>695</v>
      </c>
      <c r="T45" s="284"/>
      <c r="U45" s="483">
        <v>110000</v>
      </c>
      <c r="V45" s="483"/>
      <c r="W45" s="485">
        <f>+U45+V46</f>
        <v>110000</v>
      </c>
      <c r="X45" s="489">
        <f>+U45/6.86</f>
        <v>16034.985422740525</v>
      </c>
      <c r="Y45" s="477" t="s">
        <v>637</v>
      </c>
    </row>
    <row r="46" spans="1:25" s="184" customFormat="1" ht="19.5" customHeight="1" x14ac:dyDescent="0.2">
      <c r="A46" s="475"/>
      <c r="B46" s="475"/>
      <c r="C46" s="492"/>
      <c r="D46" s="494"/>
      <c r="E46" s="478"/>
      <c r="F46" s="478"/>
      <c r="G46" s="478"/>
      <c r="H46" s="231" t="s">
        <v>563</v>
      </c>
      <c r="I46" s="240" t="s">
        <v>580</v>
      </c>
      <c r="J46" s="216" t="s">
        <v>214</v>
      </c>
      <c r="K46" s="216" t="s">
        <v>214</v>
      </c>
      <c r="L46" s="264" t="s">
        <v>598</v>
      </c>
      <c r="M46" s="264" t="s">
        <v>589</v>
      </c>
      <c r="N46" s="216" t="s">
        <v>214</v>
      </c>
      <c r="O46" s="216" t="s">
        <v>214</v>
      </c>
      <c r="P46" s="216" t="s">
        <v>214</v>
      </c>
      <c r="Q46" s="264" t="s">
        <v>619</v>
      </c>
      <c r="R46" s="318"/>
      <c r="S46" s="318"/>
      <c r="T46" s="284" t="s">
        <v>640</v>
      </c>
      <c r="U46" s="484"/>
      <c r="V46" s="484">
        <v>0</v>
      </c>
      <c r="W46" s="486"/>
      <c r="X46" s="490"/>
      <c r="Y46" s="478"/>
    </row>
    <row r="47" spans="1:25" s="184" customFormat="1" ht="19.5" customHeight="1" x14ac:dyDescent="0.2">
      <c r="A47" s="473">
        <v>10</v>
      </c>
      <c r="B47" s="473" t="s">
        <v>511</v>
      </c>
      <c r="C47" s="491" t="s">
        <v>510</v>
      </c>
      <c r="D47" s="493" t="s">
        <v>514</v>
      </c>
      <c r="E47" s="477">
        <v>110000</v>
      </c>
      <c r="F47" s="477">
        <f t="shared" si="7"/>
        <v>16034.985422740525</v>
      </c>
      <c r="G47" s="477" t="s">
        <v>538</v>
      </c>
      <c r="H47" s="231" t="s">
        <v>540</v>
      </c>
      <c r="I47" s="240" t="s">
        <v>580</v>
      </c>
      <c r="J47" s="216" t="s">
        <v>214</v>
      </c>
      <c r="K47" s="216" t="s">
        <v>214</v>
      </c>
      <c r="L47" s="264" t="s">
        <v>581</v>
      </c>
      <c r="M47" s="264" t="s">
        <v>582</v>
      </c>
      <c r="N47" s="216" t="s">
        <v>214</v>
      </c>
      <c r="O47" s="216" t="s">
        <v>214</v>
      </c>
      <c r="P47" s="216" t="s">
        <v>214</v>
      </c>
      <c r="Q47" s="264" t="s">
        <v>576</v>
      </c>
      <c r="R47" s="326" t="s">
        <v>681</v>
      </c>
      <c r="S47" s="326" t="s">
        <v>697</v>
      </c>
      <c r="T47" s="284"/>
      <c r="U47" s="483">
        <v>110000</v>
      </c>
      <c r="V47" s="483"/>
      <c r="W47" s="485">
        <f>+U47+V48</f>
        <v>110000</v>
      </c>
      <c r="X47" s="489">
        <f>+U47/6.86</f>
        <v>16034.985422740525</v>
      </c>
      <c r="Y47" s="477" t="s">
        <v>637</v>
      </c>
    </row>
    <row r="48" spans="1:25" s="184" customFormat="1" ht="18.75" customHeight="1" x14ac:dyDescent="0.2">
      <c r="A48" s="475"/>
      <c r="B48" s="475" t="s">
        <v>511</v>
      </c>
      <c r="C48" s="492"/>
      <c r="D48" s="494"/>
      <c r="E48" s="478"/>
      <c r="F48" s="478"/>
      <c r="G48" s="478"/>
      <c r="H48" s="231" t="s">
        <v>563</v>
      </c>
      <c r="I48" s="240" t="s">
        <v>580</v>
      </c>
      <c r="J48" s="216" t="s">
        <v>214</v>
      </c>
      <c r="K48" s="216" t="s">
        <v>214</v>
      </c>
      <c r="L48" s="264" t="s">
        <v>598</v>
      </c>
      <c r="M48" s="264" t="s">
        <v>589</v>
      </c>
      <c r="N48" s="216" t="s">
        <v>214</v>
      </c>
      <c r="O48" s="216" t="s">
        <v>214</v>
      </c>
      <c r="P48" s="216" t="s">
        <v>214</v>
      </c>
      <c r="Q48" s="264" t="s">
        <v>631</v>
      </c>
      <c r="R48" s="327"/>
      <c r="S48" s="327"/>
      <c r="T48" s="284" t="s">
        <v>599</v>
      </c>
      <c r="U48" s="484"/>
      <c r="V48" s="484">
        <v>0</v>
      </c>
      <c r="W48" s="486"/>
      <c r="X48" s="490"/>
      <c r="Y48" s="478"/>
    </row>
    <row r="49" spans="1:25" s="184" customFormat="1" ht="20.25" customHeight="1" x14ac:dyDescent="0.2">
      <c r="A49" s="473">
        <v>11</v>
      </c>
      <c r="B49" s="473" t="s">
        <v>511</v>
      </c>
      <c r="C49" s="491" t="s">
        <v>510</v>
      </c>
      <c r="D49" s="493" t="s">
        <v>515</v>
      </c>
      <c r="E49" s="477">
        <v>189000</v>
      </c>
      <c r="F49" s="477">
        <f t="shared" si="7"/>
        <v>27551.020408163266</v>
      </c>
      <c r="G49" s="473" t="s">
        <v>538</v>
      </c>
      <c r="H49" s="231" t="s">
        <v>540</v>
      </c>
      <c r="I49" s="240" t="s">
        <v>580</v>
      </c>
      <c r="J49" s="216" t="s">
        <v>214</v>
      </c>
      <c r="K49" s="216" t="s">
        <v>214</v>
      </c>
      <c r="L49" s="264" t="s">
        <v>581</v>
      </c>
      <c r="M49" s="264" t="s">
        <v>582</v>
      </c>
      <c r="N49" s="216" t="s">
        <v>214</v>
      </c>
      <c r="O49" s="216" t="s">
        <v>214</v>
      </c>
      <c r="P49" s="216" t="s">
        <v>214</v>
      </c>
      <c r="Q49" s="264" t="s">
        <v>576</v>
      </c>
      <c r="R49" s="327" t="s">
        <v>671</v>
      </c>
      <c r="S49" s="327" t="s">
        <v>672</v>
      </c>
      <c r="T49" s="285"/>
      <c r="U49" s="483">
        <v>189000</v>
      </c>
      <c r="V49" s="483"/>
      <c r="W49" s="485">
        <f>+U49+V50</f>
        <v>189000</v>
      </c>
      <c r="X49" s="489">
        <f>+U49/6.86</f>
        <v>27551.020408163266</v>
      </c>
      <c r="Y49" s="477" t="s">
        <v>637</v>
      </c>
    </row>
    <row r="50" spans="1:25" s="184" customFormat="1" ht="21.75" customHeight="1" x14ac:dyDescent="0.2">
      <c r="A50" s="475"/>
      <c r="B50" s="475" t="s">
        <v>511</v>
      </c>
      <c r="C50" s="492"/>
      <c r="D50" s="494"/>
      <c r="E50" s="478"/>
      <c r="F50" s="478"/>
      <c r="G50" s="475"/>
      <c r="H50" s="231" t="s">
        <v>563</v>
      </c>
      <c r="I50" s="240" t="s">
        <v>580</v>
      </c>
      <c r="J50" s="216" t="s">
        <v>214</v>
      </c>
      <c r="K50" s="216" t="s">
        <v>214</v>
      </c>
      <c r="L50" s="264" t="s">
        <v>598</v>
      </c>
      <c r="M50" s="264" t="s">
        <v>589</v>
      </c>
      <c r="N50" s="216" t="s">
        <v>214</v>
      </c>
      <c r="O50" s="216" t="s">
        <v>214</v>
      </c>
      <c r="P50" s="216" t="s">
        <v>214</v>
      </c>
      <c r="Q50" s="264" t="s">
        <v>542</v>
      </c>
      <c r="R50" s="327"/>
      <c r="S50" s="327"/>
      <c r="T50" s="285" t="s">
        <v>600</v>
      </c>
      <c r="U50" s="484"/>
      <c r="V50" s="484">
        <v>0</v>
      </c>
      <c r="W50" s="486"/>
      <c r="X50" s="490"/>
      <c r="Y50" s="478"/>
    </row>
    <row r="51" spans="1:25" s="184" customFormat="1" ht="24" customHeight="1" x14ac:dyDescent="0.2">
      <c r="A51" s="473">
        <v>12</v>
      </c>
      <c r="B51" s="473" t="s">
        <v>511</v>
      </c>
      <c r="C51" s="491" t="s">
        <v>510</v>
      </c>
      <c r="D51" s="493" t="s">
        <v>516</v>
      </c>
      <c r="E51" s="477">
        <v>180000</v>
      </c>
      <c r="F51" s="477">
        <f t="shared" si="7"/>
        <v>26239.067055393585</v>
      </c>
      <c r="G51" s="473" t="s">
        <v>538</v>
      </c>
      <c r="H51" s="231" t="s">
        <v>540</v>
      </c>
      <c r="I51" s="240" t="s">
        <v>580</v>
      </c>
      <c r="J51" s="216" t="s">
        <v>214</v>
      </c>
      <c r="K51" s="216" t="s">
        <v>214</v>
      </c>
      <c r="L51" s="264" t="s">
        <v>581</v>
      </c>
      <c r="M51" s="264" t="s">
        <v>582</v>
      </c>
      <c r="N51" s="216" t="s">
        <v>214</v>
      </c>
      <c r="O51" s="216" t="s">
        <v>214</v>
      </c>
      <c r="P51" s="216" t="s">
        <v>214</v>
      </c>
      <c r="Q51" s="264" t="s">
        <v>576</v>
      </c>
      <c r="R51" s="328"/>
      <c r="S51" s="328"/>
      <c r="T51" s="285"/>
      <c r="U51" s="483">
        <v>180000</v>
      </c>
      <c r="V51" s="483"/>
      <c r="W51" s="485">
        <f>+U51+V52</f>
        <v>180000</v>
      </c>
      <c r="X51" s="489">
        <f>+U51/6.86</f>
        <v>26239.067055393585</v>
      </c>
      <c r="Y51" s="477" t="s">
        <v>637</v>
      </c>
    </row>
    <row r="52" spans="1:25" s="184" customFormat="1" ht="18.75" customHeight="1" x14ac:dyDescent="0.2">
      <c r="A52" s="475"/>
      <c r="B52" s="475" t="s">
        <v>511</v>
      </c>
      <c r="C52" s="492"/>
      <c r="D52" s="494"/>
      <c r="E52" s="478"/>
      <c r="F52" s="478"/>
      <c r="G52" s="475"/>
      <c r="H52" s="231" t="s">
        <v>563</v>
      </c>
      <c r="I52" s="240" t="s">
        <v>580</v>
      </c>
      <c r="J52" s="216" t="s">
        <v>214</v>
      </c>
      <c r="K52" s="216" t="s">
        <v>214</v>
      </c>
      <c r="L52" s="264" t="s">
        <v>598</v>
      </c>
      <c r="M52" s="264" t="s">
        <v>589</v>
      </c>
      <c r="N52" s="216" t="s">
        <v>214</v>
      </c>
      <c r="O52" s="216" t="s">
        <v>214</v>
      </c>
      <c r="P52" s="216" t="s">
        <v>214</v>
      </c>
      <c r="Q52" s="264" t="s">
        <v>627</v>
      </c>
      <c r="R52" s="328"/>
      <c r="S52" s="328"/>
      <c r="T52" s="285" t="s">
        <v>601</v>
      </c>
      <c r="U52" s="484"/>
      <c r="V52" s="484">
        <v>0</v>
      </c>
      <c r="W52" s="486"/>
      <c r="X52" s="490"/>
      <c r="Y52" s="478"/>
    </row>
    <row r="53" spans="1:25" s="184" customFormat="1" ht="21.75" customHeight="1" x14ac:dyDescent="0.2">
      <c r="A53" s="473">
        <v>13</v>
      </c>
      <c r="B53" s="473" t="s">
        <v>511</v>
      </c>
      <c r="C53" s="491" t="s">
        <v>510</v>
      </c>
      <c r="D53" s="493" t="s">
        <v>517</v>
      </c>
      <c r="E53" s="477">
        <v>200000</v>
      </c>
      <c r="F53" s="477">
        <f t="shared" si="7"/>
        <v>29154.518950437316</v>
      </c>
      <c r="G53" s="473" t="s">
        <v>538</v>
      </c>
      <c r="H53" s="231" t="s">
        <v>540</v>
      </c>
      <c r="I53" s="240" t="s">
        <v>580</v>
      </c>
      <c r="J53" s="216" t="s">
        <v>214</v>
      </c>
      <c r="K53" s="216" t="s">
        <v>214</v>
      </c>
      <c r="L53" s="264" t="s">
        <v>581</v>
      </c>
      <c r="M53" s="264" t="s">
        <v>582</v>
      </c>
      <c r="N53" s="216" t="s">
        <v>214</v>
      </c>
      <c r="O53" s="216" t="s">
        <v>214</v>
      </c>
      <c r="P53" s="216" t="s">
        <v>214</v>
      </c>
      <c r="Q53" s="264" t="s">
        <v>576</v>
      </c>
      <c r="R53" s="326" t="s">
        <v>671</v>
      </c>
      <c r="S53" s="326" t="s">
        <v>698</v>
      </c>
      <c r="T53" s="285"/>
      <c r="U53" s="483">
        <v>200000</v>
      </c>
      <c r="V53" s="483"/>
      <c r="W53" s="485">
        <f>+U53+V54</f>
        <v>200000</v>
      </c>
      <c r="X53" s="489">
        <f>+U53/6.86</f>
        <v>29154.518950437316</v>
      </c>
      <c r="Y53" s="477" t="s">
        <v>637</v>
      </c>
    </row>
    <row r="54" spans="1:25" s="184" customFormat="1" ht="21.75" customHeight="1" x14ac:dyDescent="0.2">
      <c r="A54" s="475"/>
      <c r="B54" s="475" t="s">
        <v>511</v>
      </c>
      <c r="C54" s="492"/>
      <c r="D54" s="494"/>
      <c r="E54" s="478"/>
      <c r="F54" s="478"/>
      <c r="G54" s="475"/>
      <c r="H54" s="231" t="s">
        <v>563</v>
      </c>
      <c r="I54" s="240" t="s">
        <v>580</v>
      </c>
      <c r="J54" s="216" t="s">
        <v>214</v>
      </c>
      <c r="K54" s="216" t="s">
        <v>214</v>
      </c>
      <c r="L54" s="264" t="s">
        <v>598</v>
      </c>
      <c r="M54" s="264" t="s">
        <v>589</v>
      </c>
      <c r="N54" s="216" t="s">
        <v>214</v>
      </c>
      <c r="O54" s="216" t="s">
        <v>214</v>
      </c>
      <c r="P54" s="216" t="s">
        <v>214</v>
      </c>
      <c r="Q54" s="264" t="s">
        <v>618</v>
      </c>
      <c r="R54" s="327"/>
      <c r="S54" s="327"/>
      <c r="T54" s="285" t="s">
        <v>602</v>
      </c>
      <c r="U54" s="484"/>
      <c r="V54" s="484">
        <v>0</v>
      </c>
      <c r="W54" s="486"/>
      <c r="X54" s="490"/>
      <c r="Y54" s="478"/>
    </row>
    <row r="55" spans="1:25" s="184" customFormat="1" ht="24" customHeight="1" x14ac:dyDescent="0.2">
      <c r="A55" s="473">
        <v>14</v>
      </c>
      <c r="B55" s="473" t="s">
        <v>511</v>
      </c>
      <c r="C55" s="491" t="s">
        <v>510</v>
      </c>
      <c r="D55" s="493" t="s">
        <v>518</v>
      </c>
      <c r="E55" s="477">
        <v>150000</v>
      </c>
      <c r="F55" s="477">
        <f t="shared" si="7"/>
        <v>21865.889212827988</v>
      </c>
      <c r="G55" s="473" t="s">
        <v>538</v>
      </c>
      <c r="H55" s="231" t="s">
        <v>540</v>
      </c>
      <c r="I55" s="240" t="s">
        <v>580</v>
      </c>
      <c r="J55" s="216" t="s">
        <v>214</v>
      </c>
      <c r="K55" s="216" t="s">
        <v>214</v>
      </c>
      <c r="L55" s="264" t="s">
        <v>581</v>
      </c>
      <c r="M55" s="264" t="s">
        <v>582</v>
      </c>
      <c r="N55" s="216" t="s">
        <v>214</v>
      </c>
      <c r="O55" s="216" t="s">
        <v>214</v>
      </c>
      <c r="P55" s="216" t="s">
        <v>214</v>
      </c>
      <c r="Q55" s="264" t="s">
        <v>576</v>
      </c>
      <c r="R55" s="329" t="s">
        <v>685</v>
      </c>
      <c r="S55" s="329" t="s">
        <v>698</v>
      </c>
      <c r="T55" s="285"/>
      <c r="U55" s="483">
        <v>150000</v>
      </c>
      <c r="V55" s="483"/>
      <c r="W55" s="485">
        <f>+U55+V56</f>
        <v>150000</v>
      </c>
      <c r="X55" s="489">
        <f>+U55/6.86</f>
        <v>21865.889212827988</v>
      </c>
      <c r="Y55" s="477" t="s">
        <v>637</v>
      </c>
    </row>
    <row r="56" spans="1:25" s="184" customFormat="1" ht="20.25" customHeight="1" x14ac:dyDescent="0.2">
      <c r="A56" s="475"/>
      <c r="B56" s="475" t="s">
        <v>511</v>
      </c>
      <c r="C56" s="492"/>
      <c r="D56" s="494"/>
      <c r="E56" s="478"/>
      <c r="F56" s="478"/>
      <c r="G56" s="475"/>
      <c r="H56" s="231" t="s">
        <v>563</v>
      </c>
      <c r="I56" s="240" t="s">
        <v>580</v>
      </c>
      <c r="J56" s="216" t="s">
        <v>214</v>
      </c>
      <c r="K56" s="216" t="s">
        <v>214</v>
      </c>
      <c r="L56" s="264" t="s">
        <v>598</v>
      </c>
      <c r="M56" s="264" t="s">
        <v>589</v>
      </c>
      <c r="N56" s="216" t="s">
        <v>214</v>
      </c>
      <c r="O56" s="216" t="s">
        <v>214</v>
      </c>
      <c r="P56" s="216" t="s">
        <v>214</v>
      </c>
      <c r="Q56" s="264" t="s">
        <v>619</v>
      </c>
      <c r="R56" s="327"/>
      <c r="S56" s="327"/>
      <c r="T56" s="285" t="s">
        <v>603</v>
      </c>
      <c r="U56" s="484"/>
      <c r="V56" s="484">
        <v>0</v>
      </c>
      <c r="W56" s="486"/>
      <c r="X56" s="490"/>
      <c r="Y56" s="478"/>
    </row>
    <row r="57" spans="1:25" s="184" customFormat="1" ht="22.5" customHeight="1" x14ac:dyDescent="0.2">
      <c r="A57" s="473">
        <v>15</v>
      </c>
      <c r="B57" s="473" t="s">
        <v>511</v>
      </c>
      <c r="C57" s="491" t="s">
        <v>510</v>
      </c>
      <c r="D57" s="493" t="s">
        <v>519</v>
      </c>
      <c r="E57" s="477">
        <v>199800</v>
      </c>
      <c r="F57" s="477">
        <f t="shared" si="7"/>
        <v>29125.36443148688</v>
      </c>
      <c r="G57" s="473" t="s">
        <v>538</v>
      </c>
      <c r="H57" s="231" t="s">
        <v>540</v>
      </c>
      <c r="I57" s="240" t="s">
        <v>580</v>
      </c>
      <c r="J57" s="216" t="s">
        <v>214</v>
      </c>
      <c r="K57" s="216" t="s">
        <v>214</v>
      </c>
      <c r="L57" s="264" t="s">
        <v>581</v>
      </c>
      <c r="M57" s="264" t="s">
        <v>582</v>
      </c>
      <c r="N57" s="216" t="s">
        <v>214</v>
      </c>
      <c r="O57" s="216" t="s">
        <v>214</v>
      </c>
      <c r="P57" s="216" t="s">
        <v>214</v>
      </c>
      <c r="Q57" s="264" t="s">
        <v>576</v>
      </c>
      <c r="R57" s="329" t="s">
        <v>688</v>
      </c>
      <c r="S57" s="329" t="s">
        <v>699</v>
      </c>
      <c r="T57" s="285"/>
      <c r="U57" s="483">
        <v>199800</v>
      </c>
      <c r="V57" s="483"/>
      <c r="W57" s="485">
        <f>+U57+V58</f>
        <v>199800</v>
      </c>
      <c r="X57" s="489">
        <f>+U57/6.86</f>
        <v>29125.36443148688</v>
      </c>
      <c r="Y57" s="477" t="s">
        <v>637</v>
      </c>
    </row>
    <row r="58" spans="1:25" s="184" customFormat="1" ht="18" customHeight="1" x14ac:dyDescent="0.2">
      <c r="A58" s="475"/>
      <c r="B58" s="475" t="s">
        <v>511</v>
      </c>
      <c r="C58" s="492"/>
      <c r="D58" s="494"/>
      <c r="E58" s="478"/>
      <c r="F58" s="478"/>
      <c r="G58" s="475"/>
      <c r="H58" s="231" t="s">
        <v>563</v>
      </c>
      <c r="I58" s="240" t="s">
        <v>580</v>
      </c>
      <c r="J58" s="216" t="s">
        <v>214</v>
      </c>
      <c r="K58" s="216" t="s">
        <v>214</v>
      </c>
      <c r="L58" s="264" t="s">
        <v>598</v>
      </c>
      <c r="M58" s="264" t="s">
        <v>589</v>
      </c>
      <c r="N58" s="216" t="s">
        <v>214</v>
      </c>
      <c r="O58" s="216" t="s">
        <v>214</v>
      </c>
      <c r="P58" s="216" t="s">
        <v>214</v>
      </c>
      <c r="Q58" s="264" t="s">
        <v>635</v>
      </c>
      <c r="R58" s="327"/>
      <c r="S58" s="327"/>
      <c r="T58" s="286" t="s">
        <v>641</v>
      </c>
      <c r="U58" s="484"/>
      <c r="V58" s="484">
        <v>0</v>
      </c>
      <c r="W58" s="486"/>
      <c r="X58" s="490"/>
      <c r="Y58" s="478"/>
    </row>
    <row r="59" spans="1:25" s="184" customFormat="1" ht="27.75" customHeight="1" x14ac:dyDescent="0.2">
      <c r="A59" s="473">
        <v>16</v>
      </c>
      <c r="B59" s="473" t="s">
        <v>511</v>
      </c>
      <c r="C59" s="491" t="s">
        <v>510</v>
      </c>
      <c r="D59" s="493" t="s">
        <v>520</v>
      </c>
      <c r="E59" s="477">
        <v>300000</v>
      </c>
      <c r="F59" s="477">
        <f t="shared" si="7"/>
        <v>43731.778425655975</v>
      </c>
      <c r="G59" s="473" t="s">
        <v>538</v>
      </c>
      <c r="H59" s="231" t="s">
        <v>540</v>
      </c>
      <c r="I59" s="240" t="s">
        <v>580</v>
      </c>
      <c r="J59" s="216" t="s">
        <v>214</v>
      </c>
      <c r="K59" s="216" t="s">
        <v>214</v>
      </c>
      <c r="L59" s="264" t="s">
        <v>581</v>
      </c>
      <c r="M59" s="264" t="s">
        <v>582</v>
      </c>
      <c r="N59" s="216" t="s">
        <v>214</v>
      </c>
      <c r="O59" s="216" t="s">
        <v>214</v>
      </c>
      <c r="P59" s="216" t="s">
        <v>214</v>
      </c>
      <c r="Q59" s="264" t="s">
        <v>590</v>
      </c>
      <c r="R59" s="330"/>
      <c r="S59" s="330"/>
      <c r="T59" s="285"/>
      <c r="U59" s="483">
        <v>300000</v>
      </c>
      <c r="V59" s="483"/>
      <c r="W59" s="485">
        <f>+U59+V60</f>
        <v>300000</v>
      </c>
      <c r="X59" s="489">
        <f>+U59/6.86</f>
        <v>43731.778425655975</v>
      </c>
      <c r="Y59" s="477" t="s">
        <v>637</v>
      </c>
    </row>
    <row r="60" spans="1:25" s="184" customFormat="1" ht="15" x14ac:dyDescent="0.2">
      <c r="A60" s="475"/>
      <c r="B60" s="475" t="s">
        <v>511</v>
      </c>
      <c r="C60" s="492"/>
      <c r="D60" s="494"/>
      <c r="E60" s="478"/>
      <c r="F60" s="478"/>
      <c r="G60" s="475"/>
      <c r="H60" s="231" t="s">
        <v>563</v>
      </c>
      <c r="I60" s="240" t="s">
        <v>580</v>
      </c>
      <c r="J60" s="216" t="s">
        <v>214</v>
      </c>
      <c r="K60" s="216" t="s">
        <v>214</v>
      </c>
      <c r="L60" s="264" t="s">
        <v>598</v>
      </c>
      <c r="M60" s="264" t="s">
        <v>589</v>
      </c>
      <c r="N60" s="216" t="s">
        <v>214</v>
      </c>
      <c r="O60" s="216" t="s">
        <v>214</v>
      </c>
      <c r="P60" s="216" t="s">
        <v>214</v>
      </c>
      <c r="Q60" s="264" t="s">
        <v>643</v>
      </c>
      <c r="R60" s="330"/>
      <c r="S60" s="330"/>
      <c r="T60" s="286" t="s">
        <v>642</v>
      </c>
      <c r="U60" s="484"/>
      <c r="V60" s="484">
        <v>0</v>
      </c>
      <c r="W60" s="486"/>
      <c r="X60" s="490"/>
      <c r="Y60" s="478"/>
    </row>
    <row r="61" spans="1:25" s="184" customFormat="1" ht="28.5" customHeight="1" x14ac:dyDescent="0.2">
      <c r="A61" s="473">
        <v>17</v>
      </c>
      <c r="B61" s="473" t="s">
        <v>511</v>
      </c>
      <c r="C61" s="491" t="s">
        <v>510</v>
      </c>
      <c r="D61" s="493" t="s">
        <v>521</v>
      </c>
      <c r="E61" s="477">
        <v>200000</v>
      </c>
      <c r="F61" s="477">
        <f t="shared" si="7"/>
        <v>29154.518950437316</v>
      </c>
      <c r="G61" s="473" t="s">
        <v>538</v>
      </c>
      <c r="H61" s="231" t="s">
        <v>540</v>
      </c>
      <c r="I61" s="240" t="s">
        <v>580</v>
      </c>
      <c r="J61" s="216" t="s">
        <v>214</v>
      </c>
      <c r="K61" s="216" t="s">
        <v>214</v>
      </c>
      <c r="L61" s="264" t="s">
        <v>581</v>
      </c>
      <c r="M61" s="264" t="s">
        <v>582</v>
      </c>
      <c r="N61" s="216" t="s">
        <v>214</v>
      </c>
      <c r="O61" s="216" t="s">
        <v>214</v>
      </c>
      <c r="P61" s="216" t="s">
        <v>214</v>
      </c>
      <c r="Q61" s="264" t="s">
        <v>576</v>
      </c>
      <c r="R61" s="326" t="s">
        <v>691</v>
      </c>
      <c r="S61" s="326" t="s">
        <v>700</v>
      </c>
      <c r="T61" s="285"/>
      <c r="U61" s="483">
        <v>200000</v>
      </c>
      <c r="V61" s="483"/>
      <c r="W61" s="485">
        <f>+U61+V62</f>
        <v>200000</v>
      </c>
      <c r="X61" s="489">
        <f>+U61/6.86</f>
        <v>29154.518950437316</v>
      </c>
      <c r="Y61" s="477" t="s">
        <v>637</v>
      </c>
    </row>
    <row r="62" spans="1:25" s="184" customFormat="1" ht="15" x14ac:dyDescent="0.2">
      <c r="A62" s="475"/>
      <c r="B62" s="475" t="s">
        <v>511</v>
      </c>
      <c r="C62" s="492"/>
      <c r="D62" s="494"/>
      <c r="E62" s="478"/>
      <c r="F62" s="478"/>
      <c r="G62" s="475"/>
      <c r="H62" s="231" t="s">
        <v>563</v>
      </c>
      <c r="I62" s="240" t="s">
        <v>580</v>
      </c>
      <c r="J62" s="216" t="s">
        <v>214</v>
      </c>
      <c r="K62" s="216" t="s">
        <v>214</v>
      </c>
      <c r="L62" s="264" t="s">
        <v>598</v>
      </c>
      <c r="M62" s="264" t="s">
        <v>589</v>
      </c>
      <c r="N62" s="216" t="s">
        <v>214</v>
      </c>
      <c r="O62" s="216" t="s">
        <v>214</v>
      </c>
      <c r="P62" s="216" t="s">
        <v>214</v>
      </c>
      <c r="Q62" s="264" t="s">
        <v>632</v>
      </c>
      <c r="R62" s="327"/>
      <c r="S62" s="327"/>
      <c r="T62" s="285" t="s">
        <v>604</v>
      </c>
      <c r="U62" s="484"/>
      <c r="V62" s="484">
        <v>0</v>
      </c>
      <c r="W62" s="486"/>
      <c r="X62" s="490"/>
      <c r="Y62" s="478"/>
    </row>
    <row r="63" spans="1:25" s="184" customFormat="1" ht="21" customHeight="1" x14ac:dyDescent="0.2">
      <c r="A63" s="473">
        <v>18</v>
      </c>
      <c r="B63" s="473" t="s">
        <v>511</v>
      </c>
      <c r="C63" s="491" t="s">
        <v>510</v>
      </c>
      <c r="D63" s="493" t="s">
        <v>522</v>
      </c>
      <c r="E63" s="477">
        <v>200000</v>
      </c>
      <c r="F63" s="477">
        <f t="shared" si="7"/>
        <v>29154.518950437316</v>
      </c>
      <c r="G63" s="473" t="s">
        <v>538</v>
      </c>
      <c r="H63" s="231" t="s">
        <v>540</v>
      </c>
      <c r="I63" s="240" t="s">
        <v>580</v>
      </c>
      <c r="J63" s="216" t="s">
        <v>214</v>
      </c>
      <c r="K63" s="216" t="s">
        <v>214</v>
      </c>
      <c r="L63" s="264" t="s">
        <v>581</v>
      </c>
      <c r="M63" s="264" t="s">
        <v>582</v>
      </c>
      <c r="N63" s="216" t="s">
        <v>214</v>
      </c>
      <c r="O63" s="216" t="s">
        <v>214</v>
      </c>
      <c r="P63" s="216" t="s">
        <v>214</v>
      </c>
      <c r="Q63" s="264" t="s">
        <v>576</v>
      </c>
      <c r="R63" s="328"/>
      <c r="S63" s="328"/>
      <c r="T63" s="285"/>
      <c r="U63" s="483">
        <v>200000</v>
      </c>
      <c r="V63" s="483"/>
      <c r="W63" s="485">
        <f>+U63+V64</f>
        <v>200000</v>
      </c>
      <c r="X63" s="489">
        <f>+U63/6.86</f>
        <v>29154.518950437316</v>
      </c>
      <c r="Y63" s="477" t="s">
        <v>637</v>
      </c>
    </row>
    <row r="64" spans="1:25" s="184" customFormat="1" ht="22.15" customHeight="1" x14ac:dyDescent="0.2">
      <c r="A64" s="475"/>
      <c r="B64" s="475" t="s">
        <v>511</v>
      </c>
      <c r="C64" s="492"/>
      <c r="D64" s="494"/>
      <c r="E64" s="478"/>
      <c r="F64" s="478"/>
      <c r="G64" s="475"/>
      <c r="H64" s="231" t="s">
        <v>563</v>
      </c>
      <c r="I64" s="240" t="s">
        <v>580</v>
      </c>
      <c r="J64" s="216" t="s">
        <v>214</v>
      </c>
      <c r="K64" s="216" t="s">
        <v>214</v>
      </c>
      <c r="L64" s="264" t="s">
        <v>598</v>
      </c>
      <c r="M64" s="264" t="s">
        <v>589</v>
      </c>
      <c r="N64" s="216" t="s">
        <v>214</v>
      </c>
      <c r="O64" s="216" t="s">
        <v>214</v>
      </c>
      <c r="P64" s="216" t="s">
        <v>214</v>
      </c>
      <c r="Q64" s="264" t="s">
        <v>542</v>
      </c>
      <c r="R64" s="328"/>
      <c r="S64" s="328"/>
      <c r="T64" s="285" t="s">
        <v>605</v>
      </c>
      <c r="U64" s="484"/>
      <c r="V64" s="484">
        <v>0</v>
      </c>
      <c r="W64" s="486"/>
      <c r="X64" s="490"/>
      <c r="Y64" s="478"/>
    </row>
    <row r="65" spans="1:25" s="184" customFormat="1" ht="30" customHeight="1" x14ac:dyDescent="0.2">
      <c r="A65" s="473">
        <v>19</v>
      </c>
      <c r="B65" s="473" t="s">
        <v>511</v>
      </c>
      <c r="C65" s="491" t="s">
        <v>510</v>
      </c>
      <c r="D65" s="493" t="s">
        <v>569</v>
      </c>
      <c r="E65" s="477">
        <v>203000</v>
      </c>
      <c r="F65" s="477">
        <f t="shared" si="7"/>
        <v>29591.836734693876</v>
      </c>
      <c r="G65" s="473" t="s">
        <v>538</v>
      </c>
      <c r="H65" s="231" t="s">
        <v>540</v>
      </c>
      <c r="I65" s="240" t="s">
        <v>580</v>
      </c>
      <c r="J65" s="216" t="s">
        <v>214</v>
      </c>
      <c r="K65" s="216" t="s">
        <v>214</v>
      </c>
      <c r="L65" s="264" t="s">
        <v>581</v>
      </c>
      <c r="M65" s="264" t="s">
        <v>582</v>
      </c>
      <c r="N65" s="216" t="s">
        <v>214</v>
      </c>
      <c r="O65" s="216" t="s">
        <v>214</v>
      </c>
      <c r="P65" s="216" t="s">
        <v>214</v>
      </c>
      <c r="Q65" s="264" t="s">
        <v>576</v>
      </c>
      <c r="R65" s="328"/>
      <c r="S65" s="328"/>
      <c r="T65" s="285"/>
      <c r="U65" s="483">
        <v>203000</v>
      </c>
      <c r="V65" s="483"/>
      <c r="W65" s="485">
        <f>+U65+V66</f>
        <v>203000</v>
      </c>
      <c r="X65" s="489">
        <f>+U65/6.86</f>
        <v>29591.836734693876</v>
      </c>
      <c r="Y65" s="477" t="s">
        <v>637</v>
      </c>
    </row>
    <row r="66" spans="1:25" s="184" customFormat="1" ht="33.75" customHeight="1" x14ac:dyDescent="0.2">
      <c r="A66" s="475"/>
      <c r="B66" s="475" t="s">
        <v>511</v>
      </c>
      <c r="C66" s="492"/>
      <c r="D66" s="494"/>
      <c r="E66" s="478"/>
      <c r="F66" s="478"/>
      <c r="G66" s="475"/>
      <c r="H66" s="231" t="s">
        <v>563</v>
      </c>
      <c r="I66" s="240" t="s">
        <v>580</v>
      </c>
      <c r="J66" s="216" t="s">
        <v>214</v>
      </c>
      <c r="K66" s="216" t="s">
        <v>214</v>
      </c>
      <c r="L66" s="264" t="s">
        <v>598</v>
      </c>
      <c r="M66" s="264" t="s">
        <v>589</v>
      </c>
      <c r="N66" s="216" t="s">
        <v>214</v>
      </c>
      <c r="O66" s="216" t="s">
        <v>214</v>
      </c>
      <c r="P66" s="216" t="s">
        <v>214</v>
      </c>
      <c r="Q66" s="264" t="s">
        <v>633</v>
      </c>
      <c r="R66" s="328"/>
      <c r="S66" s="328"/>
      <c r="T66" s="285" t="s">
        <v>606</v>
      </c>
      <c r="U66" s="484"/>
      <c r="V66" s="484">
        <v>0</v>
      </c>
      <c r="W66" s="486"/>
      <c r="X66" s="490"/>
      <c r="Y66" s="478"/>
    </row>
    <row r="67" spans="1:25" s="184" customFormat="1" ht="29.25" customHeight="1" x14ac:dyDescent="0.2">
      <c r="A67" s="473">
        <v>20</v>
      </c>
      <c r="B67" s="473" t="s">
        <v>511</v>
      </c>
      <c r="C67" s="491" t="s">
        <v>510</v>
      </c>
      <c r="D67" s="493" t="s">
        <v>523</v>
      </c>
      <c r="E67" s="477">
        <v>41200</v>
      </c>
      <c r="F67" s="477">
        <f t="shared" si="7"/>
        <v>6005.8309037900872</v>
      </c>
      <c r="G67" s="473" t="s">
        <v>538</v>
      </c>
      <c r="H67" s="231" t="s">
        <v>540</v>
      </c>
      <c r="I67" s="240" t="s">
        <v>580</v>
      </c>
      <c r="J67" s="216" t="s">
        <v>214</v>
      </c>
      <c r="K67" s="216" t="s">
        <v>214</v>
      </c>
      <c r="L67" s="264" t="s">
        <v>581</v>
      </c>
      <c r="M67" s="264" t="s">
        <v>582</v>
      </c>
      <c r="N67" s="216" t="s">
        <v>214</v>
      </c>
      <c r="O67" s="216" t="s">
        <v>214</v>
      </c>
      <c r="P67" s="216" t="s">
        <v>214</v>
      </c>
      <c r="Q67" s="264" t="s">
        <v>576</v>
      </c>
      <c r="R67" s="329" t="s">
        <v>688</v>
      </c>
      <c r="S67" s="329" t="s">
        <v>702</v>
      </c>
      <c r="T67" s="285"/>
      <c r="U67" s="483">
        <v>41200</v>
      </c>
      <c r="V67" s="483"/>
      <c r="W67" s="485">
        <f>+U67+V68</f>
        <v>41200</v>
      </c>
      <c r="X67" s="489">
        <f>+U67/6.86</f>
        <v>6005.8309037900872</v>
      </c>
      <c r="Y67" s="477" t="s">
        <v>637</v>
      </c>
    </row>
    <row r="68" spans="1:25" s="184" customFormat="1" ht="15" x14ac:dyDescent="0.2">
      <c r="A68" s="475"/>
      <c r="B68" s="475" t="s">
        <v>511</v>
      </c>
      <c r="C68" s="492"/>
      <c r="D68" s="494"/>
      <c r="E68" s="478"/>
      <c r="F68" s="478"/>
      <c r="G68" s="475"/>
      <c r="H68" s="231" t="s">
        <v>563</v>
      </c>
      <c r="I68" s="240" t="s">
        <v>580</v>
      </c>
      <c r="J68" s="216" t="s">
        <v>214</v>
      </c>
      <c r="K68" s="216" t="s">
        <v>214</v>
      </c>
      <c r="L68" s="264" t="s">
        <v>631</v>
      </c>
      <c r="M68" s="264" t="s">
        <v>634</v>
      </c>
      <c r="N68" s="216" t="s">
        <v>214</v>
      </c>
      <c r="O68" s="216" t="s">
        <v>214</v>
      </c>
      <c r="P68" s="216" t="s">
        <v>214</v>
      </c>
      <c r="Q68" s="264" t="s">
        <v>635</v>
      </c>
      <c r="R68" s="327"/>
      <c r="S68" s="327"/>
      <c r="T68" s="285" t="s">
        <v>636</v>
      </c>
      <c r="U68" s="484"/>
      <c r="V68" s="484">
        <v>0</v>
      </c>
      <c r="W68" s="486"/>
      <c r="X68" s="490"/>
      <c r="Y68" s="478"/>
    </row>
    <row r="69" spans="1:25" s="184" customFormat="1" ht="30" customHeight="1" x14ac:dyDescent="0.2">
      <c r="A69" s="473">
        <v>21</v>
      </c>
      <c r="B69" s="473" t="s">
        <v>511</v>
      </c>
      <c r="C69" s="491" t="s">
        <v>510</v>
      </c>
      <c r="D69" s="493" t="s">
        <v>524</v>
      </c>
      <c r="E69" s="477">
        <v>99000</v>
      </c>
      <c r="F69" s="477">
        <f t="shared" si="7"/>
        <v>14431.486880466471</v>
      </c>
      <c r="G69" s="473" t="s">
        <v>538</v>
      </c>
      <c r="H69" s="231" t="s">
        <v>540</v>
      </c>
      <c r="I69" s="240" t="s">
        <v>541</v>
      </c>
      <c r="J69" s="216" t="s">
        <v>214</v>
      </c>
      <c r="K69" s="216" t="s">
        <v>214</v>
      </c>
      <c r="L69" s="264" t="s">
        <v>567</v>
      </c>
      <c r="M69" s="264" t="s">
        <v>542</v>
      </c>
      <c r="N69" s="216" t="s">
        <v>214</v>
      </c>
      <c r="O69" s="216" t="s">
        <v>214</v>
      </c>
      <c r="P69" s="216" t="s">
        <v>214</v>
      </c>
      <c r="Q69" s="264" t="s">
        <v>566</v>
      </c>
      <c r="R69" s="328"/>
      <c r="S69" s="328"/>
      <c r="T69" s="285"/>
      <c r="U69" s="483">
        <v>99000</v>
      </c>
      <c r="V69" s="483"/>
      <c r="W69" s="485">
        <f>+U69+V70</f>
        <v>99000</v>
      </c>
      <c r="X69" s="489">
        <f>+U69/6.86</f>
        <v>14431.486880466471</v>
      </c>
      <c r="Y69" s="477" t="s">
        <v>637</v>
      </c>
    </row>
    <row r="70" spans="1:25" s="184" customFormat="1" ht="15" x14ac:dyDescent="0.2">
      <c r="A70" s="475"/>
      <c r="B70" s="475" t="s">
        <v>511</v>
      </c>
      <c r="C70" s="492"/>
      <c r="D70" s="494"/>
      <c r="E70" s="478"/>
      <c r="F70" s="478"/>
      <c r="G70" s="475"/>
      <c r="H70" s="231" t="s">
        <v>563</v>
      </c>
      <c r="I70" s="240" t="s">
        <v>541</v>
      </c>
      <c r="J70" s="216" t="s">
        <v>214</v>
      </c>
      <c r="K70" s="216" t="s">
        <v>214</v>
      </c>
      <c r="L70" s="264" t="s">
        <v>598</v>
      </c>
      <c r="M70" s="264" t="s">
        <v>589</v>
      </c>
      <c r="N70" s="216" t="s">
        <v>214</v>
      </c>
      <c r="O70" s="216" t="s">
        <v>214</v>
      </c>
      <c r="P70" s="216" t="s">
        <v>214</v>
      </c>
      <c r="Q70" s="264" t="s">
        <v>542</v>
      </c>
      <c r="R70" s="328"/>
      <c r="S70" s="328"/>
      <c r="T70" s="285" t="s">
        <v>607</v>
      </c>
      <c r="U70" s="484"/>
      <c r="V70" s="484">
        <v>0</v>
      </c>
      <c r="W70" s="486"/>
      <c r="X70" s="490"/>
      <c r="Y70" s="478"/>
    </row>
    <row r="71" spans="1:25" s="184" customFormat="1" ht="30" customHeight="1" x14ac:dyDescent="0.2">
      <c r="A71" s="473">
        <v>22</v>
      </c>
      <c r="B71" s="473" t="s">
        <v>511</v>
      </c>
      <c r="C71" s="491" t="s">
        <v>510</v>
      </c>
      <c r="D71" s="493" t="s">
        <v>525</v>
      </c>
      <c r="E71" s="477">
        <v>110000</v>
      </c>
      <c r="F71" s="477">
        <f t="shared" si="7"/>
        <v>16034.985422740525</v>
      </c>
      <c r="G71" s="473" t="s">
        <v>538</v>
      </c>
      <c r="H71" s="231" t="s">
        <v>540</v>
      </c>
      <c r="I71" s="240" t="s">
        <v>541</v>
      </c>
      <c r="J71" s="216" t="s">
        <v>214</v>
      </c>
      <c r="K71" s="216" t="s">
        <v>214</v>
      </c>
      <c r="L71" s="264" t="s">
        <v>567</v>
      </c>
      <c r="M71" s="264" t="s">
        <v>542</v>
      </c>
      <c r="N71" s="216" t="s">
        <v>214</v>
      </c>
      <c r="O71" s="216" t="s">
        <v>214</v>
      </c>
      <c r="P71" s="216" t="s">
        <v>214</v>
      </c>
      <c r="Q71" s="264" t="s">
        <v>566</v>
      </c>
      <c r="R71" s="329" t="s">
        <v>681</v>
      </c>
      <c r="S71" s="329" t="s">
        <v>696</v>
      </c>
      <c r="T71" s="285"/>
      <c r="U71" s="483">
        <v>110000</v>
      </c>
      <c r="V71" s="483"/>
      <c r="W71" s="485">
        <f>+U71+V72</f>
        <v>110000</v>
      </c>
      <c r="X71" s="489">
        <f>+U71/6.86</f>
        <v>16034.985422740525</v>
      </c>
      <c r="Y71" s="477" t="s">
        <v>637</v>
      </c>
    </row>
    <row r="72" spans="1:25" s="184" customFormat="1" ht="15" x14ac:dyDescent="0.2">
      <c r="A72" s="475"/>
      <c r="B72" s="475" t="s">
        <v>511</v>
      </c>
      <c r="C72" s="492"/>
      <c r="D72" s="494"/>
      <c r="E72" s="478"/>
      <c r="F72" s="478"/>
      <c r="G72" s="475"/>
      <c r="H72" s="231" t="s">
        <v>563</v>
      </c>
      <c r="I72" s="240" t="s">
        <v>541</v>
      </c>
      <c r="J72" s="216" t="s">
        <v>214</v>
      </c>
      <c r="K72" s="216" t="s">
        <v>214</v>
      </c>
      <c r="L72" s="264" t="s">
        <v>598</v>
      </c>
      <c r="M72" s="264" t="s">
        <v>589</v>
      </c>
      <c r="N72" s="216" t="s">
        <v>214</v>
      </c>
      <c r="O72" s="216" t="s">
        <v>214</v>
      </c>
      <c r="P72" s="216" t="s">
        <v>214</v>
      </c>
      <c r="Q72" s="264" t="s">
        <v>618</v>
      </c>
      <c r="R72" s="327"/>
      <c r="S72" s="327"/>
      <c r="T72" s="285" t="s">
        <v>608</v>
      </c>
      <c r="U72" s="484"/>
      <c r="V72" s="484">
        <v>0</v>
      </c>
      <c r="W72" s="486"/>
      <c r="X72" s="490"/>
      <c r="Y72" s="478"/>
    </row>
    <row r="73" spans="1:25" s="184" customFormat="1" ht="21" customHeight="1" x14ac:dyDescent="0.2">
      <c r="A73" s="473">
        <v>23</v>
      </c>
      <c r="B73" s="473" t="s">
        <v>511</v>
      </c>
      <c r="C73" s="491" t="s">
        <v>510</v>
      </c>
      <c r="D73" s="493" t="s">
        <v>526</v>
      </c>
      <c r="E73" s="477">
        <v>80000</v>
      </c>
      <c r="F73" s="477">
        <f t="shared" si="7"/>
        <v>11661.807580174927</v>
      </c>
      <c r="G73" s="473" t="s">
        <v>538</v>
      </c>
      <c r="H73" s="231" t="s">
        <v>540</v>
      </c>
      <c r="I73" s="240" t="s">
        <v>541</v>
      </c>
      <c r="J73" s="216" t="s">
        <v>214</v>
      </c>
      <c r="K73" s="216" t="s">
        <v>214</v>
      </c>
      <c r="L73" s="264" t="s">
        <v>567</v>
      </c>
      <c r="M73" s="264" t="s">
        <v>542</v>
      </c>
      <c r="N73" s="216" t="s">
        <v>214</v>
      </c>
      <c r="O73" s="216" t="s">
        <v>214</v>
      </c>
      <c r="P73" s="216" t="s">
        <v>214</v>
      </c>
      <c r="Q73" s="264" t="s">
        <v>566</v>
      </c>
      <c r="R73" s="327" t="s">
        <v>676</v>
      </c>
      <c r="S73" s="327" t="s">
        <v>678</v>
      </c>
      <c r="T73" s="285"/>
      <c r="U73" s="483">
        <v>80000</v>
      </c>
      <c r="V73" s="483"/>
      <c r="W73" s="485">
        <f>+U73+V74</f>
        <v>80000</v>
      </c>
      <c r="X73" s="489">
        <f>+U73/6.86</f>
        <v>11661.807580174927</v>
      </c>
      <c r="Y73" s="477" t="s">
        <v>637</v>
      </c>
    </row>
    <row r="74" spans="1:25" s="184" customFormat="1" ht="24" x14ac:dyDescent="0.2">
      <c r="A74" s="475"/>
      <c r="B74" s="475" t="s">
        <v>511</v>
      </c>
      <c r="C74" s="492"/>
      <c r="D74" s="494"/>
      <c r="E74" s="478"/>
      <c r="F74" s="478"/>
      <c r="G74" s="475"/>
      <c r="H74" s="231" t="s">
        <v>563</v>
      </c>
      <c r="I74" s="240" t="s">
        <v>541</v>
      </c>
      <c r="J74" s="216" t="s">
        <v>214</v>
      </c>
      <c r="K74" s="216" t="s">
        <v>214</v>
      </c>
      <c r="L74" s="264" t="s">
        <v>598</v>
      </c>
      <c r="M74" s="264" t="s">
        <v>589</v>
      </c>
      <c r="N74" s="216" t="s">
        <v>214</v>
      </c>
      <c r="O74" s="216" t="s">
        <v>214</v>
      </c>
      <c r="P74" s="216" t="s">
        <v>214</v>
      </c>
      <c r="Q74" s="264" t="s">
        <v>618</v>
      </c>
      <c r="R74" s="327"/>
      <c r="S74" s="327"/>
      <c r="T74" s="285" t="s">
        <v>609</v>
      </c>
      <c r="U74" s="484"/>
      <c r="V74" s="484">
        <v>0</v>
      </c>
      <c r="W74" s="486"/>
      <c r="X74" s="490"/>
      <c r="Y74" s="478"/>
    </row>
    <row r="75" spans="1:25" s="184" customFormat="1" ht="24.75" customHeight="1" x14ac:dyDescent="0.2">
      <c r="A75" s="473">
        <v>24</v>
      </c>
      <c r="B75" s="473" t="s">
        <v>511</v>
      </c>
      <c r="C75" s="491" t="s">
        <v>510</v>
      </c>
      <c r="D75" s="493" t="s">
        <v>527</v>
      </c>
      <c r="E75" s="477">
        <v>96000</v>
      </c>
      <c r="F75" s="477">
        <f t="shared" si="7"/>
        <v>13994.169096209911</v>
      </c>
      <c r="G75" s="473" t="s">
        <v>538</v>
      </c>
      <c r="H75" s="231" t="s">
        <v>540</v>
      </c>
      <c r="I75" s="240" t="s">
        <v>541</v>
      </c>
      <c r="J75" s="216" t="s">
        <v>214</v>
      </c>
      <c r="K75" s="216" t="s">
        <v>214</v>
      </c>
      <c r="L75" s="264" t="s">
        <v>567</v>
      </c>
      <c r="M75" s="264" t="s">
        <v>542</v>
      </c>
      <c r="N75" s="216" t="s">
        <v>214</v>
      </c>
      <c r="O75" s="216" t="s">
        <v>214</v>
      </c>
      <c r="P75" s="216" t="s">
        <v>214</v>
      </c>
      <c r="Q75" s="264" t="s">
        <v>566</v>
      </c>
      <c r="R75" s="327" t="s">
        <v>671</v>
      </c>
      <c r="S75" s="327" t="s">
        <v>680</v>
      </c>
      <c r="T75" s="285"/>
      <c r="U75" s="483">
        <v>96000</v>
      </c>
      <c r="V75" s="483"/>
      <c r="W75" s="485">
        <f>+U75+V76</f>
        <v>96000</v>
      </c>
      <c r="X75" s="489">
        <f>+U75/6.86</f>
        <v>13994.169096209911</v>
      </c>
      <c r="Y75" s="477" t="s">
        <v>637</v>
      </c>
    </row>
    <row r="76" spans="1:25" s="184" customFormat="1" ht="24" x14ac:dyDescent="0.2">
      <c r="A76" s="475"/>
      <c r="B76" s="475" t="s">
        <v>511</v>
      </c>
      <c r="C76" s="492"/>
      <c r="D76" s="494"/>
      <c r="E76" s="478"/>
      <c r="F76" s="478"/>
      <c r="G76" s="475"/>
      <c r="H76" s="231" t="s">
        <v>563</v>
      </c>
      <c r="I76" s="240" t="s">
        <v>541</v>
      </c>
      <c r="J76" s="216" t="s">
        <v>214</v>
      </c>
      <c r="K76" s="216" t="s">
        <v>214</v>
      </c>
      <c r="L76" s="264" t="s">
        <v>598</v>
      </c>
      <c r="M76" s="264" t="s">
        <v>589</v>
      </c>
      <c r="N76" s="216" t="s">
        <v>214</v>
      </c>
      <c r="O76" s="216" t="s">
        <v>214</v>
      </c>
      <c r="P76" s="216" t="s">
        <v>214</v>
      </c>
      <c r="Q76" s="264" t="s">
        <v>618</v>
      </c>
      <c r="R76" s="327"/>
      <c r="S76" s="327"/>
      <c r="T76" s="285" t="s">
        <v>610</v>
      </c>
      <c r="U76" s="484"/>
      <c r="V76" s="484">
        <v>0</v>
      </c>
      <c r="W76" s="486"/>
      <c r="X76" s="490"/>
      <c r="Y76" s="478"/>
    </row>
    <row r="77" spans="1:25" s="184" customFormat="1" ht="24.75" customHeight="1" x14ac:dyDescent="0.2">
      <c r="A77" s="473">
        <v>25</v>
      </c>
      <c r="B77" s="473" t="s">
        <v>511</v>
      </c>
      <c r="C77" s="491" t="s">
        <v>510</v>
      </c>
      <c r="D77" s="493" t="s">
        <v>528</v>
      </c>
      <c r="E77" s="477">
        <v>100000</v>
      </c>
      <c r="F77" s="477">
        <f t="shared" si="7"/>
        <v>14577.259475218658</v>
      </c>
      <c r="G77" s="473" t="s">
        <v>538</v>
      </c>
      <c r="H77" s="231" t="s">
        <v>540</v>
      </c>
      <c r="I77" s="240" t="s">
        <v>541</v>
      </c>
      <c r="J77" s="216" t="s">
        <v>214</v>
      </c>
      <c r="K77" s="216" t="s">
        <v>214</v>
      </c>
      <c r="L77" s="264" t="s">
        <v>567</v>
      </c>
      <c r="M77" s="264" t="s">
        <v>542</v>
      </c>
      <c r="N77" s="216" t="s">
        <v>214</v>
      </c>
      <c r="O77" s="216" t="s">
        <v>214</v>
      </c>
      <c r="P77" s="216" t="s">
        <v>214</v>
      </c>
      <c r="Q77" s="264" t="s">
        <v>566</v>
      </c>
      <c r="R77" s="326" t="s">
        <v>681</v>
      </c>
      <c r="S77" s="326" t="s">
        <v>701</v>
      </c>
      <c r="T77" s="285"/>
      <c r="U77" s="483">
        <v>100000</v>
      </c>
      <c r="V77" s="483"/>
      <c r="W77" s="485">
        <f>+U77+V78</f>
        <v>100000</v>
      </c>
      <c r="X77" s="489">
        <f>+U77/6.86</f>
        <v>14577.259475218658</v>
      </c>
      <c r="Y77" s="477" t="s">
        <v>637</v>
      </c>
    </row>
    <row r="78" spans="1:25" s="184" customFormat="1" ht="24" x14ac:dyDescent="0.2">
      <c r="A78" s="475"/>
      <c r="B78" s="475" t="s">
        <v>511</v>
      </c>
      <c r="C78" s="492"/>
      <c r="D78" s="494"/>
      <c r="E78" s="478"/>
      <c r="F78" s="478"/>
      <c r="G78" s="475"/>
      <c r="H78" s="231" t="s">
        <v>563</v>
      </c>
      <c r="I78" s="240" t="s">
        <v>541</v>
      </c>
      <c r="J78" s="216" t="s">
        <v>214</v>
      </c>
      <c r="K78" s="216" t="s">
        <v>214</v>
      </c>
      <c r="L78" s="264" t="s">
        <v>598</v>
      </c>
      <c r="M78" s="264" t="s">
        <v>589</v>
      </c>
      <c r="N78" s="216" t="s">
        <v>214</v>
      </c>
      <c r="O78" s="216" t="s">
        <v>214</v>
      </c>
      <c r="P78" s="216" t="s">
        <v>214</v>
      </c>
      <c r="Q78" s="264" t="s">
        <v>632</v>
      </c>
      <c r="R78" s="327"/>
      <c r="S78" s="327"/>
      <c r="T78" s="285" t="s">
        <v>611</v>
      </c>
      <c r="U78" s="484"/>
      <c r="V78" s="484">
        <v>0</v>
      </c>
      <c r="W78" s="486"/>
      <c r="X78" s="490"/>
      <c r="Y78" s="478"/>
    </row>
    <row r="79" spans="1:25" s="184" customFormat="1" ht="37.5" customHeight="1" x14ac:dyDescent="0.2">
      <c r="A79" s="473">
        <v>26</v>
      </c>
      <c r="B79" s="473" t="s">
        <v>511</v>
      </c>
      <c r="C79" s="491" t="s">
        <v>510</v>
      </c>
      <c r="D79" s="493" t="s">
        <v>529</v>
      </c>
      <c r="E79" s="477">
        <v>68800</v>
      </c>
      <c r="F79" s="477">
        <f t="shared" si="7"/>
        <v>10029.154518950438</v>
      </c>
      <c r="G79" s="473" t="s">
        <v>538</v>
      </c>
      <c r="H79" s="231" t="s">
        <v>540</v>
      </c>
      <c r="I79" s="240" t="s">
        <v>541</v>
      </c>
      <c r="J79" s="216" t="s">
        <v>214</v>
      </c>
      <c r="K79" s="216" t="s">
        <v>214</v>
      </c>
      <c r="L79" s="264" t="s">
        <v>567</v>
      </c>
      <c r="M79" s="264" t="s">
        <v>542</v>
      </c>
      <c r="N79" s="216" t="s">
        <v>214</v>
      </c>
      <c r="O79" s="216" t="s">
        <v>214</v>
      </c>
      <c r="P79" s="216" t="s">
        <v>214</v>
      </c>
      <c r="Q79" s="264" t="s">
        <v>566</v>
      </c>
      <c r="R79" s="328"/>
      <c r="S79" s="328"/>
      <c r="T79" s="285"/>
      <c r="U79" s="483">
        <v>68800</v>
      </c>
      <c r="V79" s="483"/>
      <c r="W79" s="485">
        <f>+U79+V80</f>
        <v>68800</v>
      </c>
      <c r="X79" s="489">
        <f>+U79/6.86</f>
        <v>10029.154518950438</v>
      </c>
      <c r="Y79" s="477" t="s">
        <v>637</v>
      </c>
    </row>
    <row r="80" spans="1:25" s="184" customFormat="1" ht="15" x14ac:dyDescent="0.2">
      <c r="A80" s="475"/>
      <c r="B80" s="475" t="s">
        <v>511</v>
      </c>
      <c r="C80" s="492"/>
      <c r="D80" s="494"/>
      <c r="E80" s="478"/>
      <c r="F80" s="478"/>
      <c r="G80" s="475"/>
      <c r="H80" s="231" t="s">
        <v>563</v>
      </c>
      <c r="I80" s="240" t="s">
        <v>541</v>
      </c>
      <c r="J80" s="216" t="s">
        <v>214</v>
      </c>
      <c r="K80" s="216" t="s">
        <v>214</v>
      </c>
      <c r="L80" s="264" t="s">
        <v>631</v>
      </c>
      <c r="M80" s="264" t="s">
        <v>634</v>
      </c>
      <c r="N80" s="216" t="s">
        <v>214</v>
      </c>
      <c r="O80" s="216" t="s">
        <v>214</v>
      </c>
      <c r="P80" s="216" t="s">
        <v>214</v>
      </c>
      <c r="Q80" s="264"/>
      <c r="R80" s="328"/>
      <c r="S80" s="328"/>
      <c r="T80" s="286" t="s">
        <v>644</v>
      </c>
      <c r="U80" s="484"/>
      <c r="V80" s="484">
        <v>0</v>
      </c>
      <c r="W80" s="486"/>
      <c r="X80" s="490"/>
      <c r="Y80" s="478"/>
    </row>
    <row r="81" spans="1:25" s="184" customFormat="1" ht="17.25" customHeight="1" x14ac:dyDescent="0.2">
      <c r="A81" s="473">
        <v>27</v>
      </c>
      <c r="B81" s="473" t="s">
        <v>511</v>
      </c>
      <c r="C81" s="491" t="s">
        <v>510</v>
      </c>
      <c r="D81" s="493" t="s">
        <v>530</v>
      </c>
      <c r="E81" s="477">
        <v>59500</v>
      </c>
      <c r="F81" s="477">
        <f t="shared" si="7"/>
        <v>8673.4693877551017</v>
      </c>
      <c r="G81" s="473" t="s">
        <v>538</v>
      </c>
      <c r="H81" s="231" t="s">
        <v>540</v>
      </c>
      <c r="I81" s="240" t="s">
        <v>541</v>
      </c>
      <c r="J81" s="216" t="s">
        <v>214</v>
      </c>
      <c r="K81" s="216" t="s">
        <v>214</v>
      </c>
      <c r="L81" s="264" t="s">
        <v>567</v>
      </c>
      <c r="M81" s="264" t="s">
        <v>542</v>
      </c>
      <c r="N81" s="216" t="s">
        <v>214</v>
      </c>
      <c r="O81" s="216" t="s">
        <v>214</v>
      </c>
      <c r="P81" s="216" t="s">
        <v>214</v>
      </c>
      <c r="Q81" s="264" t="s">
        <v>566</v>
      </c>
      <c r="R81" s="326" t="s">
        <v>693</v>
      </c>
      <c r="S81" s="326" t="s">
        <v>703</v>
      </c>
      <c r="T81" s="285"/>
      <c r="U81" s="483">
        <v>59500</v>
      </c>
      <c r="V81" s="483"/>
      <c r="W81" s="485">
        <f>+U81+V82</f>
        <v>59500</v>
      </c>
      <c r="X81" s="489">
        <f>+U81/6.86</f>
        <v>8673.4693877551017</v>
      </c>
      <c r="Y81" s="477" t="s">
        <v>637</v>
      </c>
    </row>
    <row r="82" spans="1:25" s="184" customFormat="1" ht="24" x14ac:dyDescent="0.2">
      <c r="A82" s="475"/>
      <c r="B82" s="475" t="s">
        <v>511</v>
      </c>
      <c r="C82" s="492"/>
      <c r="D82" s="494"/>
      <c r="E82" s="478"/>
      <c r="F82" s="478"/>
      <c r="G82" s="475"/>
      <c r="H82" s="231" t="s">
        <v>563</v>
      </c>
      <c r="I82" s="240" t="s">
        <v>541</v>
      </c>
      <c r="J82" s="216" t="s">
        <v>214</v>
      </c>
      <c r="K82" s="216" t="s">
        <v>214</v>
      </c>
      <c r="L82" s="264" t="s">
        <v>598</v>
      </c>
      <c r="M82" s="264" t="s">
        <v>589</v>
      </c>
      <c r="N82" s="216" t="s">
        <v>214</v>
      </c>
      <c r="O82" s="216" t="s">
        <v>214</v>
      </c>
      <c r="P82" s="216" t="s">
        <v>214</v>
      </c>
      <c r="Q82" s="264" t="s">
        <v>542</v>
      </c>
      <c r="R82" s="327"/>
      <c r="S82" s="327"/>
      <c r="T82" s="285" t="s">
        <v>612</v>
      </c>
      <c r="U82" s="484"/>
      <c r="V82" s="484">
        <v>0</v>
      </c>
      <c r="W82" s="486"/>
      <c r="X82" s="490"/>
      <c r="Y82" s="478"/>
    </row>
    <row r="83" spans="1:25" s="184" customFormat="1" ht="20.25" customHeight="1" x14ac:dyDescent="0.2">
      <c r="A83" s="473">
        <v>28</v>
      </c>
      <c r="B83" s="473" t="s">
        <v>511</v>
      </c>
      <c r="C83" s="491" t="s">
        <v>510</v>
      </c>
      <c r="D83" s="493" t="s">
        <v>531</v>
      </c>
      <c r="E83" s="477">
        <v>91000</v>
      </c>
      <c r="F83" s="477">
        <f t="shared" si="7"/>
        <v>13265.306122448979</v>
      </c>
      <c r="G83" s="473" t="s">
        <v>538</v>
      </c>
      <c r="H83" s="231" t="s">
        <v>540</v>
      </c>
      <c r="I83" s="240" t="s">
        <v>541</v>
      </c>
      <c r="J83" s="216" t="s">
        <v>214</v>
      </c>
      <c r="K83" s="216" t="s">
        <v>214</v>
      </c>
      <c r="L83" s="264" t="s">
        <v>567</v>
      </c>
      <c r="M83" s="264" t="s">
        <v>542</v>
      </c>
      <c r="N83" s="216" t="s">
        <v>214</v>
      </c>
      <c r="O83" s="216" t="s">
        <v>214</v>
      </c>
      <c r="P83" s="216" t="s">
        <v>214</v>
      </c>
      <c r="Q83" s="264" t="s">
        <v>566</v>
      </c>
      <c r="R83" s="327" t="s">
        <v>673</v>
      </c>
      <c r="S83" s="327" t="s">
        <v>675</v>
      </c>
      <c r="T83" s="285"/>
      <c r="U83" s="483">
        <v>91000</v>
      </c>
      <c r="V83" s="483"/>
      <c r="W83" s="485">
        <f>+U83+V84</f>
        <v>91000</v>
      </c>
      <c r="X83" s="489">
        <f>+U83/6.86</f>
        <v>13265.306122448979</v>
      </c>
      <c r="Y83" s="477" t="s">
        <v>637</v>
      </c>
    </row>
    <row r="84" spans="1:25" s="184" customFormat="1" ht="15" x14ac:dyDescent="0.2">
      <c r="A84" s="475"/>
      <c r="B84" s="475" t="s">
        <v>511</v>
      </c>
      <c r="C84" s="492"/>
      <c r="D84" s="494"/>
      <c r="E84" s="478"/>
      <c r="F84" s="478"/>
      <c r="G84" s="475"/>
      <c r="H84" s="231" t="s">
        <v>563</v>
      </c>
      <c r="I84" s="240" t="s">
        <v>541</v>
      </c>
      <c r="J84" s="216" t="s">
        <v>214</v>
      </c>
      <c r="K84" s="216" t="s">
        <v>214</v>
      </c>
      <c r="L84" s="264" t="s">
        <v>598</v>
      </c>
      <c r="M84" s="264" t="s">
        <v>589</v>
      </c>
      <c r="N84" s="216" t="s">
        <v>214</v>
      </c>
      <c r="O84" s="216" t="s">
        <v>214</v>
      </c>
      <c r="P84" s="216" t="s">
        <v>214</v>
      </c>
      <c r="Q84" s="264" t="s">
        <v>638</v>
      </c>
      <c r="R84" s="327"/>
      <c r="S84" s="327"/>
      <c r="T84" s="285" t="s">
        <v>613</v>
      </c>
      <c r="U84" s="484"/>
      <c r="V84" s="484">
        <v>0</v>
      </c>
      <c r="W84" s="486"/>
      <c r="X84" s="490"/>
      <c r="Y84" s="478"/>
    </row>
    <row r="85" spans="1:25" s="184" customFormat="1" ht="31.5" customHeight="1" x14ac:dyDescent="0.2">
      <c r="A85" s="473">
        <v>29</v>
      </c>
      <c r="B85" s="473" t="s">
        <v>511</v>
      </c>
      <c r="C85" s="491" t="s">
        <v>510</v>
      </c>
      <c r="D85" s="493" t="s">
        <v>532</v>
      </c>
      <c r="E85" s="477">
        <v>110000</v>
      </c>
      <c r="F85" s="477">
        <f t="shared" si="7"/>
        <v>16034.985422740525</v>
      </c>
      <c r="G85" s="473" t="s">
        <v>538</v>
      </c>
      <c r="H85" s="231" t="s">
        <v>540</v>
      </c>
      <c r="I85" s="240" t="s">
        <v>541</v>
      </c>
      <c r="J85" s="216" t="s">
        <v>214</v>
      </c>
      <c r="K85" s="216" t="s">
        <v>214</v>
      </c>
      <c r="L85" s="264" t="s">
        <v>567</v>
      </c>
      <c r="M85" s="264" t="s">
        <v>542</v>
      </c>
      <c r="N85" s="216" t="s">
        <v>214</v>
      </c>
      <c r="O85" s="216" t="s">
        <v>214</v>
      </c>
      <c r="P85" s="216" t="s">
        <v>214</v>
      </c>
      <c r="Q85" s="264" t="s">
        <v>566</v>
      </c>
      <c r="R85" s="285">
        <v>43382</v>
      </c>
      <c r="S85" s="327" t="s">
        <v>687</v>
      </c>
      <c r="T85" s="285"/>
      <c r="U85" s="483">
        <v>110000</v>
      </c>
      <c r="V85" s="483"/>
      <c r="W85" s="485">
        <f>+U85+V86</f>
        <v>110000</v>
      </c>
      <c r="X85" s="489">
        <f>+U85/6.86</f>
        <v>16034.985422740525</v>
      </c>
      <c r="Y85" s="477" t="s">
        <v>637</v>
      </c>
    </row>
    <row r="86" spans="1:25" s="182" customFormat="1" ht="15" customHeight="1" x14ac:dyDescent="0.2">
      <c r="A86" s="475"/>
      <c r="B86" s="475"/>
      <c r="C86" s="492"/>
      <c r="D86" s="494"/>
      <c r="E86" s="478"/>
      <c r="F86" s="478"/>
      <c r="G86" s="475"/>
      <c r="H86" s="269" t="s">
        <v>563</v>
      </c>
      <c r="I86" s="240" t="s">
        <v>541</v>
      </c>
      <c r="J86" s="216" t="s">
        <v>214</v>
      </c>
      <c r="K86" s="216" t="s">
        <v>214</v>
      </c>
      <c r="L86" s="264" t="s">
        <v>598</v>
      </c>
      <c r="M86" s="264" t="s">
        <v>589</v>
      </c>
      <c r="N86" s="216" t="s">
        <v>214</v>
      </c>
      <c r="O86" s="216" t="s">
        <v>214</v>
      </c>
      <c r="P86" s="216" t="s">
        <v>214</v>
      </c>
      <c r="Q86" s="265" t="s">
        <v>618</v>
      </c>
      <c r="R86" s="319"/>
      <c r="S86" s="319"/>
      <c r="T86" s="287" t="s">
        <v>614</v>
      </c>
      <c r="U86" s="484"/>
      <c r="V86" s="484"/>
      <c r="W86" s="486"/>
      <c r="X86" s="490"/>
      <c r="Y86" s="478"/>
    </row>
    <row r="87" spans="1:25" s="184" customFormat="1" ht="31.5" customHeight="1" x14ac:dyDescent="0.2">
      <c r="A87" s="473">
        <v>30</v>
      </c>
      <c r="B87" s="473" t="s">
        <v>511</v>
      </c>
      <c r="C87" s="491" t="s">
        <v>510</v>
      </c>
      <c r="D87" s="493" t="s">
        <v>654</v>
      </c>
      <c r="E87" s="477">
        <v>196700</v>
      </c>
      <c r="F87" s="477">
        <f t="shared" si="7"/>
        <v>28673.4693877551</v>
      </c>
      <c r="G87" s="473" t="s">
        <v>538</v>
      </c>
      <c r="H87" s="269" t="s">
        <v>540</v>
      </c>
      <c r="I87" s="240" t="s">
        <v>717</v>
      </c>
      <c r="J87" s="216" t="s">
        <v>214</v>
      </c>
      <c r="K87" s="216" t="s">
        <v>214</v>
      </c>
      <c r="L87" s="264" t="s">
        <v>717</v>
      </c>
      <c r="M87" s="264" t="s">
        <v>718</v>
      </c>
      <c r="N87" s="216" t="s">
        <v>214</v>
      </c>
      <c r="O87" s="216" t="s">
        <v>214</v>
      </c>
      <c r="P87" s="216" t="s">
        <v>214</v>
      </c>
      <c r="Q87" s="264" t="s">
        <v>711</v>
      </c>
      <c r="R87" s="330"/>
      <c r="S87" s="330"/>
      <c r="T87" s="285"/>
      <c r="U87" s="483"/>
      <c r="V87" s="483"/>
      <c r="W87" s="485"/>
      <c r="X87" s="487"/>
      <c r="Y87" s="477" t="s">
        <v>648</v>
      </c>
    </row>
    <row r="88" spans="1:25" s="184" customFormat="1" ht="18.600000000000001" customHeight="1" x14ac:dyDescent="0.2">
      <c r="A88" s="474"/>
      <c r="B88" s="475"/>
      <c r="C88" s="492"/>
      <c r="D88" s="495"/>
      <c r="E88" s="482"/>
      <c r="F88" s="478"/>
      <c r="G88" s="475"/>
      <c r="H88" s="269" t="s">
        <v>563</v>
      </c>
      <c r="I88" s="240"/>
      <c r="J88" s="216" t="s">
        <v>214</v>
      </c>
      <c r="K88" s="216" t="s">
        <v>214</v>
      </c>
      <c r="L88" s="264"/>
      <c r="M88" s="264"/>
      <c r="N88" s="216"/>
      <c r="O88" s="216"/>
      <c r="P88" s="216"/>
      <c r="Q88" s="264"/>
      <c r="R88" s="330"/>
      <c r="S88" s="330"/>
      <c r="T88" s="285"/>
      <c r="U88" s="484"/>
      <c r="V88" s="484"/>
      <c r="W88" s="486"/>
      <c r="X88" s="488"/>
      <c r="Y88" s="478"/>
    </row>
    <row r="89" spans="1:25" s="184" customFormat="1" ht="31.5" customHeight="1" x14ac:dyDescent="0.2">
      <c r="A89" s="473">
        <v>31</v>
      </c>
      <c r="B89" s="473" t="s">
        <v>511</v>
      </c>
      <c r="C89" s="491" t="s">
        <v>510</v>
      </c>
      <c r="D89" s="493" t="s">
        <v>655</v>
      </c>
      <c r="E89" s="477">
        <v>60000</v>
      </c>
      <c r="F89" s="477">
        <f t="shared" si="7"/>
        <v>8746.3556851311951</v>
      </c>
      <c r="G89" s="473" t="s">
        <v>538</v>
      </c>
      <c r="H89" s="269" t="s">
        <v>540</v>
      </c>
      <c r="I89" s="240" t="s">
        <v>717</v>
      </c>
      <c r="J89" s="216" t="s">
        <v>214</v>
      </c>
      <c r="K89" s="216" t="s">
        <v>214</v>
      </c>
      <c r="L89" s="264" t="s">
        <v>717</v>
      </c>
      <c r="M89" s="264" t="s">
        <v>718</v>
      </c>
      <c r="N89" s="216" t="s">
        <v>214</v>
      </c>
      <c r="O89" s="216" t="s">
        <v>214</v>
      </c>
      <c r="P89" s="216" t="s">
        <v>214</v>
      </c>
      <c r="Q89" s="264" t="s">
        <v>711</v>
      </c>
      <c r="R89" s="330"/>
      <c r="S89" s="330"/>
      <c r="T89" s="285"/>
      <c r="U89" s="483"/>
      <c r="V89" s="483"/>
      <c r="W89" s="485"/>
      <c r="X89" s="487"/>
      <c r="Y89" s="477" t="s">
        <v>648</v>
      </c>
    </row>
    <row r="90" spans="1:25" s="184" customFormat="1" ht="19.149999999999999" customHeight="1" x14ac:dyDescent="0.2">
      <c r="A90" s="474"/>
      <c r="B90" s="475"/>
      <c r="C90" s="492"/>
      <c r="D90" s="495"/>
      <c r="E90" s="482"/>
      <c r="F90" s="478"/>
      <c r="G90" s="475"/>
      <c r="H90" s="269" t="s">
        <v>563</v>
      </c>
      <c r="I90" s="240"/>
      <c r="J90" s="216" t="s">
        <v>214</v>
      </c>
      <c r="K90" s="216" t="s">
        <v>214</v>
      </c>
      <c r="L90" s="264"/>
      <c r="M90" s="264"/>
      <c r="N90" s="216"/>
      <c r="O90" s="216"/>
      <c r="P90" s="216"/>
      <c r="Q90" s="264"/>
      <c r="R90" s="330"/>
      <c r="S90" s="330"/>
      <c r="T90" s="285"/>
      <c r="U90" s="484"/>
      <c r="V90" s="484"/>
      <c r="W90" s="486"/>
      <c r="X90" s="488"/>
      <c r="Y90" s="478"/>
    </row>
    <row r="91" spans="1:25" s="184" customFormat="1" ht="31.5" customHeight="1" x14ac:dyDescent="0.2">
      <c r="A91" s="473">
        <v>32</v>
      </c>
      <c r="B91" s="473" t="s">
        <v>511</v>
      </c>
      <c r="C91" s="491" t="s">
        <v>510</v>
      </c>
      <c r="D91" s="493" t="s">
        <v>656</v>
      </c>
      <c r="E91" s="477">
        <v>102890</v>
      </c>
      <c r="F91" s="477">
        <f t="shared" si="7"/>
        <v>14998.542274052477</v>
      </c>
      <c r="G91" s="504" t="s">
        <v>662</v>
      </c>
      <c r="H91" s="269" t="s">
        <v>540</v>
      </c>
      <c r="I91" s="240" t="s">
        <v>714</v>
      </c>
      <c r="J91" s="216" t="s">
        <v>715</v>
      </c>
      <c r="K91" s="216" t="s">
        <v>716</v>
      </c>
      <c r="L91" s="264" t="s">
        <v>717</v>
      </c>
      <c r="M91" s="264" t="s">
        <v>718</v>
      </c>
      <c r="N91" s="216" t="s">
        <v>214</v>
      </c>
      <c r="O91" s="216" t="s">
        <v>214</v>
      </c>
      <c r="P91" s="216" t="s">
        <v>214</v>
      </c>
      <c r="Q91" s="264" t="s">
        <v>719</v>
      </c>
      <c r="R91" s="330"/>
      <c r="S91" s="330"/>
      <c r="T91" s="285"/>
      <c r="U91" s="483"/>
      <c r="V91" s="483"/>
      <c r="W91" s="485"/>
      <c r="X91" s="487"/>
      <c r="Y91" s="477" t="s">
        <v>648</v>
      </c>
    </row>
    <row r="92" spans="1:25" s="182" customFormat="1" ht="24.6" customHeight="1" x14ac:dyDescent="0.2">
      <c r="A92" s="474"/>
      <c r="B92" s="475"/>
      <c r="C92" s="492"/>
      <c r="D92" s="495"/>
      <c r="E92" s="482"/>
      <c r="F92" s="478"/>
      <c r="G92" s="505"/>
      <c r="H92" s="269" t="s">
        <v>563</v>
      </c>
      <c r="I92" s="240"/>
      <c r="J92" s="216" t="s">
        <v>214</v>
      </c>
      <c r="K92" s="216" t="s">
        <v>214</v>
      </c>
      <c r="L92" s="264"/>
      <c r="M92" s="264"/>
      <c r="N92" s="216"/>
      <c r="O92" s="216"/>
      <c r="P92" s="216"/>
      <c r="Q92" s="265"/>
      <c r="R92" s="330"/>
      <c r="S92" s="330"/>
      <c r="T92" s="287"/>
      <c r="U92" s="484"/>
      <c r="V92" s="484"/>
      <c r="W92" s="486"/>
      <c r="X92" s="488"/>
      <c r="Y92" s="478"/>
    </row>
    <row r="93" spans="1:25" s="219" customFormat="1" ht="31.5" customHeight="1" x14ac:dyDescent="0.25">
      <c r="A93" s="501" t="s">
        <v>585</v>
      </c>
      <c r="B93" s="502"/>
      <c r="C93" s="502"/>
      <c r="D93" s="503"/>
      <c r="E93" s="325">
        <f>+E44+E11</f>
        <v>62891637.080000006</v>
      </c>
      <c r="F93" s="325">
        <f>+F11+F44</f>
        <v>9167877.1253644321</v>
      </c>
      <c r="G93" s="243"/>
      <c r="H93" s="244"/>
      <c r="I93" s="245"/>
      <c r="J93" s="245"/>
      <c r="K93" s="245"/>
      <c r="L93" s="245"/>
      <c r="M93" s="245"/>
      <c r="N93" s="245"/>
      <c r="O93" s="245"/>
      <c r="P93" s="245"/>
      <c r="Q93" s="245"/>
      <c r="R93" s="245"/>
      <c r="S93" s="245"/>
      <c r="T93" s="283"/>
      <c r="U93" s="288">
        <f>+U12+U21+U24+U28+U32+U36+U45+U47+U49+U51+U53+U55+U57+U59+U61+U63+U65+U67+U69+U71+U73+U75+U77+U79+U81+U83+U85</f>
        <v>45946884.399999999</v>
      </c>
      <c r="V93" s="288"/>
      <c r="W93" s="288"/>
      <c r="X93" s="289">
        <f>+U93/6.86</f>
        <v>6697796.5597667629</v>
      </c>
      <c r="Y93" s="247"/>
    </row>
    <row r="94" spans="1:25" s="182" customFormat="1" ht="33" customHeight="1" x14ac:dyDescent="0.2">
      <c r="A94" s="508"/>
      <c r="B94" s="508"/>
      <c r="C94" s="508"/>
      <c r="D94" s="508"/>
      <c r="E94" s="508"/>
      <c r="F94" s="198"/>
      <c r="G94" s="190" t="s">
        <v>720</v>
      </c>
      <c r="H94" s="186"/>
      <c r="I94" s="208"/>
      <c r="J94" s="207"/>
      <c r="K94" s="207"/>
      <c r="L94" s="207"/>
      <c r="M94" s="207"/>
      <c r="N94" s="207"/>
      <c r="O94" s="207"/>
      <c r="P94" s="207"/>
      <c r="Q94" s="207"/>
      <c r="R94" s="207"/>
      <c r="S94" s="207"/>
      <c r="W94" s="291"/>
      <c r="X94" s="302"/>
      <c r="Y94" s="61"/>
    </row>
    <row r="95" spans="1:25" s="182" customFormat="1" x14ac:dyDescent="0.2">
      <c r="A95" s="506"/>
      <c r="B95" s="506"/>
      <c r="C95" s="506"/>
      <c r="D95" s="506"/>
      <c r="E95" s="506"/>
      <c r="F95" s="191"/>
      <c r="G95" s="192"/>
      <c r="K95" s="207"/>
      <c r="L95" s="187"/>
      <c r="M95" s="209"/>
      <c r="N95" s="196"/>
      <c r="O95" s="207"/>
      <c r="P95" s="207"/>
      <c r="Q95" s="207"/>
      <c r="R95" s="207"/>
      <c r="S95" s="207"/>
      <c r="T95" s="476" t="s">
        <v>670</v>
      </c>
      <c r="U95" s="476"/>
      <c r="V95" s="476"/>
      <c r="W95" s="476"/>
      <c r="Y95" s="197"/>
    </row>
    <row r="96" spans="1:25" s="182" customFormat="1" ht="67.5" customHeight="1" x14ac:dyDescent="0.2">
      <c r="A96" s="570" t="s">
        <v>724</v>
      </c>
      <c r="B96" s="570"/>
      <c r="C96" s="570"/>
      <c r="D96" s="570"/>
      <c r="E96" s="570"/>
      <c r="F96" s="570"/>
      <c r="G96" s="570"/>
      <c r="H96" s="570"/>
      <c r="I96" s="570"/>
      <c r="J96" s="570"/>
      <c r="K96" s="570"/>
      <c r="L96" s="570"/>
      <c r="M96" s="570"/>
      <c r="N96" s="570"/>
      <c r="O96" s="570"/>
      <c r="P96" s="570"/>
      <c r="Q96" s="570"/>
      <c r="R96" s="207"/>
      <c r="S96" s="207"/>
      <c r="T96" s="303"/>
      <c r="U96" s="246" t="s">
        <v>666</v>
      </c>
      <c r="V96" s="303"/>
      <c r="W96" s="304" t="s">
        <v>667</v>
      </c>
      <c r="X96" s="296"/>
      <c r="Y96" s="197"/>
    </row>
    <row r="97" spans="1:25" s="182" customFormat="1" x14ac:dyDescent="0.2">
      <c r="A97" s="506"/>
      <c r="B97" s="506"/>
      <c r="C97" s="506"/>
      <c r="D97" s="506"/>
      <c r="E97" s="506"/>
      <c r="F97" s="191"/>
      <c r="G97" s="192"/>
      <c r="H97" s="187"/>
      <c r="I97" s="209"/>
      <c r="J97" s="207"/>
      <c r="K97" s="207"/>
      <c r="L97" s="207"/>
      <c r="M97" s="183"/>
      <c r="N97" s="207"/>
      <c r="O97" s="207"/>
      <c r="P97" s="207"/>
      <c r="Q97" s="207"/>
      <c r="R97" s="207"/>
      <c r="S97" s="207"/>
      <c r="T97" s="303" t="s">
        <v>665</v>
      </c>
      <c r="U97" s="305">
        <f>+U11</f>
        <v>43049584.399999999</v>
      </c>
      <c r="V97" s="303"/>
      <c r="W97" s="306">
        <f>+X11</f>
        <v>6275449.6209912533</v>
      </c>
      <c r="X97" s="300"/>
      <c r="Y97" s="301"/>
    </row>
    <row r="98" spans="1:25" s="182" customFormat="1" ht="38.25" x14ac:dyDescent="0.2">
      <c r="A98" s="506"/>
      <c r="B98" s="506"/>
      <c r="C98" s="506"/>
      <c r="D98" s="506"/>
      <c r="E98" s="506"/>
      <c r="F98" s="191"/>
      <c r="G98" s="192"/>
      <c r="H98" s="188"/>
      <c r="I98" s="210"/>
      <c r="J98" s="211"/>
      <c r="K98" s="207"/>
      <c r="L98" s="207"/>
      <c r="M98" s="183"/>
      <c r="N98" s="207"/>
      <c r="O98" s="207"/>
      <c r="P98" s="207"/>
      <c r="Q98" s="207"/>
      <c r="R98" s="207"/>
      <c r="S98" s="207"/>
      <c r="T98" s="307" t="s">
        <v>722</v>
      </c>
      <c r="U98" s="305">
        <f>+E17+E40</f>
        <v>17247092.818999998</v>
      </c>
      <c r="V98" s="303"/>
      <c r="W98" s="308">
        <f>+F17+F40</f>
        <v>2514153.4721574346</v>
      </c>
      <c r="X98" s="297"/>
      <c r="Y98" s="197"/>
    </row>
    <row r="99" spans="1:25" s="182" customFormat="1" ht="25.5" x14ac:dyDescent="0.2">
      <c r="A99" s="506"/>
      <c r="B99" s="506"/>
      <c r="C99" s="506"/>
      <c r="D99" s="506"/>
      <c r="E99" s="506"/>
      <c r="F99" s="191"/>
      <c r="G99" s="192"/>
      <c r="H99" s="187"/>
      <c r="I99" s="209"/>
      <c r="J99" s="207"/>
      <c r="K99" s="207"/>
      <c r="L99" s="207"/>
      <c r="M99" s="183"/>
      <c r="N99" s="207"/>
      <c r="O99" s="207"/>
      <c r="P99" s="207"/>
      <c r="Q99" s="207"/>
      <c r="R99" s="207"/>
      <c r="S99" s="207"/>
      <c r="T99" s="307" t="s">
        <v>723</v>
      </c>
      <c r="U99" s="305">
        <f>+E44</f>
        <v>3256890</v>
      </c>
      <c r="V99" s="303"/>
      <c r="W99" s="308">
        <f>+F44</f>
        <v>474765.30612244894</v>
      </c>
      <c r="X99" s="297"/>
      <c r="Y99" s="197"/>
    </row>
    <row r="100" spans="1:25" s="182" customFormat="1" ht="27" customHeight="1" x14ac:dyDescent="0.2">
      <c r="A100" s="507"/>
      <c r="B100" s="507"/>
      <c r="C100" s="507"/>
      <c r="D100" s="507"/>
      <c r="E100" s="507"/>
      <c r="F100" s="193"/>
      <c r="G100" s="194"/>
      <c r="H100" s="187"/>
      <c r="I100" s="209"/>
      <c r="J100" s="207"/>
      <c r="K100" s="207"/>
      <c r="L100" s="207"/>
      <c r="N100" s="183"/>
      <c r="O100" s="207"/>
      <c r="P100" s="207"/>
      <c r="Q100" s="207"/>
      <c r="R100" s="207"/>
      <c r="S100" s="207"/>
      <c r="T100" s="309" t="s">
        <v>668</v>
      </c>
      <c r="U100" s="310">
        <f>SUM(U97:U99)</f>
        <v>63553567.218999997</v>
      </c>
      <c r="V100" s="303"/>
      <c r="W100" s="311">
        <f>+W97+W98+W99</f>
        <v>9264368.3992711361</v>
      </c>
      <c r="X100" s="297"/>
      <c r="Y100" s="194"/>
    </row>
    <row r="101" spans="1:25" s="182" customFormat="1" ht="18" x14ac:dyDescent="0.2">
      <c r="D101" s="199"/>
      <c r="I101" s="207"/>
      <c r="J101" s="207"/>
      <c r="K101" s="207"/>
      <c r="L101" s="207"/>
      <c r="M101" s="207"/>
      <c r="N101" s="213"/>
      <c r="O101" s="207"/>
      <c r="P101" s="207"/>
      <c r="Q101" s="207"/>
      <c r="R101" s="207"/>
      <c r="S101" s="207"/>
      <c r="T101" s="303" t="s">
        <v>669</v>
      </c>
      <c r="U101" s="306">
        <f>+W101*6.86</f>
        <v>64608131.700000003</v>
      </c>
      <c r="V101" s="303"/>
      <c r="W101" s="305">
        <v>9418095</v>
      </c>
      <c r="X101" s="298"/>
    </row>
    <row r="102" spans="1:25" s="182" customFormat="1" ht="28.15" customHeight="1" x14ac:dyDescent="0.2">
      <c r="D102" s="199"/>
      <c r="I102" s="207"/>
      <c r="J102" s="207"/>
      <c r="K102" s="207"/>
      <c r="L102" s="207"/>
      <c r="M102" s="207"/>
      <c r="N102" s="207"/>
      <c r="O102" s="207"/>
      <c r="P102" s="207"/>
      <c r="Q102" s="207"/>
      <c r="R102" s="207"/>
      <c r="S102" s="207"/>
      <c r="T102" s="313" t="s">
        <v>721</v>
      </c>
      <c r="U102" s="312">
        <f>+U101-U100</f>
        <v>1054564.4810000062</v>
      </c>
      <c r="V102" s="313"/>
      <c r="W102" s="314">
        <f>+W101-W100</f>
        <v>153726.60072886385</v>
      </c>
    </row>
    <row r="103" spans="1:25" s="182" customFormat="1" x14ac:dyDescent="0.2">
      <c r="A103" s="184"/>
      <c r="B103" s="184"/>
      <c r="C103" s="195"/>
      <c r="D103" s="200"/>
      <c r="I103" s="207"/>
      <c r="J103" s="207"/>
      <c r="K103" s="207"/>
      <c r="L103" s="207"/>
      <c r="M103" s="207"/>
      <c r="N103" s="207"/>
      <c r="O103" s="207"/>
      <c r="P103" s="207"/>
      <c r="Q103" s="207"/>
      <c r="R103" s="207"/>
      <c r="S103" s="207"/>
      <c r="U103" s="294"/>
      <c r="X103" s="294"/>
    </row>
    <row r="104" spans="1:25" s="182" customFormat="1" x14ac:dyDescent="0.2">
      <c r="D104" s="199"/>
      <c r="I104" s="207"/>
      <c r="J104" s="207"/>
      <c r="K104" s="207"/>
      <c r="L104" s="207"/>
      <c r="M104" s="207"/>
      <c r="N104" s="207"/>
      <c r="O104" s="207"/>
      <c r="P104" s="207"/>
      <c r="Q104" s="207"/>
      <c r="R104" s="207"/>
      <c r="S104" s="207"/>
      <c r="U104" s="294"/>
      <c r="X104" s="294"/>
    </row>
    <row r="105" spans="1:25" s="182" customFormat="1" x14ac:dyDescent="0.2">
      <c r="A105" s="184"/>
      <c r="B105" s="184"/>
      <c r="C105" s="189"/>
      <c r="D105" s="201"/>
      <c r="H105" s="183"/>
      <c r="I105" s="207"/>
      <c r="J105" s="207"/>
      <c r="K105" s="207"/>
      <c r="L105" s="207"/>
      <c r="M105" s="207"/>
      <c r="N105" s="207"/>
      <c r="O105" s="207"/>
      <c r="P105" s="207"/>
      <c r="Q105" s="207"/>
      <c r="R105" s="207"/>
      <c r="S105" s="207"/>
      <c r="U105" s="294"/>
      <c r="X105" s="294"/>
    </row>
    <row r="106" spans="1:25" s="182" customFormat="1" x14ac:dyDescent="0.2">
      <c r="D106" s="199"/>
      <c r="I106" s="207"/>
      <c r="J106" s="207"/>
      <c r="K106" s="207"/>
      <c r="L106" s="207"/>
      <c r="M106" s="207"/>
      <c r="N106" s="207"/>
      <c r="O106" s="207"/>
      <c r="P106" s="207"/>
      <c r="Q106" s="207"/>
      <c r="R106" s="207"/>
      <c r="S106" s="207"/>
      <c r="U106" s="295"/>
      <c r="X106" s="295"/>
    </row>
    <row r="107" spans="1:25" s="182" customFormat="1" x14ac:dyDescent="0.2">
      <c r="D107" s="199"/>
      <c r="F107" s="184"/>
      <c r="G107" s="184"/>
      <c r="H107" s="184"/>
      <c r="I107" s="212"/>
      <c r="J107" s="207"/>
      <c r="K107" s="207"/>
      <c r="L107" s="207"/>
      <c r="M107" s="207"/>
      <c r="N107" s="207"/>
      <c r="O107" s="207"/>
      <c r="P107" s="207"/>
      <c r="Q107" s="207"/>
      <c r="R107" s="207"/>
      <c r="S107" s="207"/>
    </row>
    <row r="108" spans="1:25" s="182" customFormat="1" x14ac:dyDescent="0.2">
      <c r="D108" s="199"/>
      <c r="F108" s="184"/>
      <c r="G108" s="184"/>
      <c r="H108" s="184"/>
      <c r="I108" s="212"/>
      <c r="J108" s="207"/>
      <c r="K108" s="207"/>
      <c r="L108" s="207"/>
      <c r="M108" s="207"/>
      <c r="N108" s="207"/>
      <c r="O108" s="207"/>
      <c r="P108" s="207"/>
      <c r="Q108" s="207"/>
      <c r="R108" s="207"/>
      <c r="S108" s="207"/>
      <c r="X108" s="299"/>
    </row>
    <row r="109" spans="1:25" s="182" customFormat="1" x14ac:dyDescent="0.2">
      <c r="D109" s="199"/>
      <c r="F109" s="184"/>
      <c r="G109" s="184"/>
      <c r="H109" s="184"/>
      <c r="I109" s="212"/>
      <c r="J109" s="207"/>
      <c r="K109" s="207"/>
      <c r="L109" s="207"/>
      <c r="M109" s="207"/>
      <c r="N109" s="207"/>
      <c r="O109" s="207"/>
      <c r="P109" s="207"/>
      <c r="Q109" s="207"/>
      <c r="R109" s="207"/>
      <c r="S109" s="207"/>
      <c r="X109" s="299"/>
    </row>
    <row r="110" spans="1:25" s="182" customFormat="1" x14ac:dyDescent="0.2">
      <c r="D110" s="199"/>
      <c r="F110" s="184"/>
      <c r="G110" s="184"/>
      <c r="H110" s="184"/>
      <c r="I110" s="212"/>
      <c r="J110" s="207"/>
      <c r="K110" s="207"/>
      <c r="L110" s="207"/>
      <c r="M110" s="207"/>
      <c r="N110" s="207"/>
      <c r="O110" s="207"/>
      <c r="P110" s="207"/>
      <c r="Q110" s="207"/>
      <c r="R110" s="207"/>
      <c r="S110" s="207"/>
    </row>
    <row r="111" spans="1:25" s="182" customFormat="1" ht="12.6" customHeight="1" x14ac:dyDescent="0.2">
      <c r="D111" s="199"/>
      <c r="F111" s="184"/>
      <c r="G111" s="184"/>
      <c r="H111" s="184"/>
      <c r="I111" s="212"/>
      <c r="J111" s="207"/>
      <c r="K111" s="207"/>
      <c r="L111" s="207"/>
      <c r="M111" s="207"/>
      <c r="N111" s="207"/>
      <c r="O111" s="207"/>
      <c r="P111" s="207"/>
      <c r="Q111" s="207"/>
      <c r="R111" s="207"/>
      <c r="S111" s="207"/>
    </row>
    <row r="112" spans="1:25" s="182" customFormat="1" x14ac:dyDescent="0.2">
      <c r="D112" s="199"/>
      <c r="F112" s="184"/>
      <c r="G112" s="184"/>
      <c r="H112" s="184"/>
      <c r="I112" s="212"/>
      <c r="J112" s="207"/>
      <c r="K112" s="207"/>
      <c r="L112" s="207"/>
      <c r="M112" s="207"/>
      <c r="N112" s="207"/>
      <c r="O112" s="207"/>
      <c r="P112" s="207"/>
      <c r="Q112" s="207"/>
      <c r="R112" s="207"/>
      <c r="S112" s="207"/>
    </row>
    <row r="113" spans="4:19" s="182" customFormat="1" x14ac:dyDescent="0.2">
      <c r="D113" s="199"/>
      <c r="F113" s="184"/>
      <c r="G113" s="184"/>
      <c r="H113" s="184"/>
      <c r="I113" s="212"/>
      <c r="J113" s="207"/>
      <c r="K113" s="207"/>
      <c r="L113" s="207"/>
      <c r="M113" s="207"/>
      <c r="N113" s="207"/>
      <c r="O113" s="207"/>
      <c r="P113" s="207"/>
      <c r="Q113" s="207"/>
      <c r="R113" s="207"/>
      <c r="S113" s="207"/>
    </row>
    <row r="114" spans="4:19" s="182" customFormat="1" x14ac:dyDescent="0.2">
      <c r="D114" s="199"/>
      <c r="F114" s="184"/>
      <c r="G114" s="184"/>
      <c r="H114" s="184"/>
      <c r="I114" s="212"/>
      <c r="J114" s="207"/>
      <c r="K114" s="207"/>
      <c r="L114" s="207"/>
      <c r="M114" s="207"/>
      <c r="N114" s="207"/>
      <c r="O114" s="207"/>
      <c r="P114" s="207"/>
      <c r="Q114" s="207"/>
      <c r="R114" s="207"/>
      <c r="S114" s="207"/>
    </row>
    <row r="115" spans="4:19" s="182" customFormat="1" x14ac:dyDescent="0.2">
      <c r="D115" s="199"/>
      <c r="F115" s="184"/>
      <c r="G115" s="184"/>
      <c r="H115" s="184"/>
      <c r="I115" s="212"/>
      <c r="J115" s="207"/>
      <c r="K115" s="207"/>
      <c r="L115" s="207"/>
      <c r="M115" s="207"/>
      <c r="N115" s="207"/>
      <c r="O115" s="207"/>
      <c r="P115" s="207"/>
      <c r="Q115" s="207"/>
      <c r="R115" s="207"/>
      <c r="S115" s="207"/>
    </row>
    <row r="116" spans="4:19" s="182" customFormat="1" x14ac:dyDescent="0.2">
      <c r="D116" s="199"/>
      <c r="I116" s="207"/>
      <c r="J116" s="207"/>
      <c r="K116" s="207"/>
      <c r="L116" s="207"/>
      <c r="M116" s="207"/>
      <c r="N116" s="207"/>
      <c r="O116" s="207"/>
      <c r="P116" s="207"/>
      <c r="Q116" s="207"/>
      <c r="R116" s="207"/>
      <c r="S116" s="207"/>
    </row>
    <row r="117" spans="4:19" s="182" customFormat="1" x14ac:dyDescent="0.2">
      <c r="D117" s="199"/>
      <c r="I117" s="207"/>
      <c r="J117" s="207"/>
      <c r="K117" s="207"/>
      <c r="L117" s="207"/>
      <c r="M117" s="207"/>
      <c r="N117" s="207"/>
      <c r="O117" s="207"/>
      <c r="P117" s="207"/>
      <c r="Q117" s="207"/>
      <c r="R117" s="207"/>
      <c r="S117" s="207"/>
    </row>
    <row r="118" spans="4:19" s="182" customFormat="1" x14ac:dyDescent="0.2">
      <c r="D118" s="199"/>
      <c r="I118" s="207"/>
      <c r="J118" s="207"/>
      <c r="K118" s="207"/>
      <c r="L118" s="207"/>
      <c r="M118" s="207"/>
      <c r="N118" s="207"/>
      <c r="O118" s="207"/>
      <c r="P118" s="207"/>
      <c r="Q118" s="207"/>
      <c r="R118" s="207"/>
      <c r="S118" s="207"/>
    </row>
    <row r="119" spans="4:19" s="182" customFormat="1" x14ac:dyDescent="0.2">
      <c r="D119" s="199"/>
      <c r="G119" s="185"/>
      <c r="I119" s="207"/>
      <c r="J119" s="207"/>
      <c r="K119" s="207"/>
      <c r="L119" s="207"/>
      <c r="M119" s="207"/>
      <c r="N119" s="207"/>
      <c r="O119" s="207"/>
      <c r="P119" s="207"/>
      <c r="Q119" s="207"/>
      <c r="R119" s="207"/>
      <c r="S119" s="207"/>
    </row>
    <row r="120" spans="4:19" s="182" customFormat="1" x14ac:dyDescent="0.2">
      <c r="D120" s="199"/>
      <c r="G120" s="185"/>
      <c r="I120" s="207"/>
      <c r="J120" s="207"/>
      <c r="K120" s="207"/>
      <c r="L120" s="207"/>
      <c r="M120" s="207"/>
      <c r="N120" s="207"/>
      <c r="O120" s="207"/>
      <c r="P120" s="207"/>
      <c r="Q120" s="207"/>
      <c r="R120" s="207"/>
      <c r="S120" s="207"/>
    </row>
    <row r="121" spans="4:19" s="182" customFormat="1" x14ac:dyDescent="0.2">
      <c r="D121" s="199"/>
      <c r="G121" s="185"/>
      <c r="I121" s="207"/>
      <c r="J121" s="207"/>
      <c r="K121" s="207"/>
      <c r="L121" s="207"/>
      <c r="M121" s="207"/>
      <c r="N121" s="207"/>
      <c r="O121" s="207"/>
      <c r="P121" s="207"/>
      <c r="Q121" s="207"/>
      <c r="R121" s="207"/>
      <c r="S121" s="207"/>
    </row>
    <row r="122" spans="4:19" s="182" customFormat="1" x14ac:dyDescent="0.2">
      <c r="D122" s="199"/>
      <c r="G122" s="185"/>
      <c r="I122" s="207"/>
      <c r="J122" s="207"/>
      <c r="K122" s="207"/>
      <c r="L122" s="207"/>
      <c r="M122" s="207"/>
      <c r="N122" s="207"/>
      <c r="O122" s="207"/>
      <c r="P122" s="207"/>
      <c r="Q122" s="207"/>
      <c r="R122" s="207"/>
      <c r="S122" s="207"/>
    </row>
    <row r="123" spans="4:19" s="182" customFormat="1" x14ac:dyDescent="0.2">
      <c r="D123" s="199"/>
      <c r="I123" s="207"/>
      <c r="J123" s="207"/>
      <c r="K123" s="207"/>
      <c r="L123" s="207"/>
      <c r="M123" s="207"/>
      <c r="N123" s="207"/>
      <c r="O123" s="207"/>
      <c r="P123" s="207"/>
      <c r="Q123" s="207"/>
      <c r="R123" s="207"/>
      <c r="S123" s="207"/>
    </row>
    <row r="124" spans="4:19" s="182" customFormat="1" x14ac:dyDescent="0.2">
      <c r="D124" s="199"/>
      <c r="I124" s="207"/>
      <c r="J124" s="207"/>
      <c r="K124" s="207"/>
      <c r="L124" s="207"/>
      <c r="M124" s="207"/>
      <c r="N124" s="207"/>
      <c r="O124" s="207"/>
      <c r="P124" s="207"/>
      <c r="Q124" s="207"/>
      <c r="R124" s="207"/>
      <c r="S124" s="207"/>
    </row>
    <row r="125" spans="4:19" s="182" customFormat="1" x14ac:dyDescent="0.2">
      <c r="D125" s="199"/>
      <c r="I125" s="207"/>
      <c r="J125" s="207"/>
      <c r="K125" s="207"/>
      <c r="L125" s="207"/>
      <c r="M125" s="207"/>
      <c r="N125" s="207"/>
      <c r="O125" s="207"/>
      <c r="P125" s="207"/>
      <c r="Q125" s="207"/>
      <c r="R125" s="207"/>
      <c r="S125" s="207"/>
    </row>
    <row r="126" spans="4:19" s="182" customFormat="1" x14ac:dyDescent="0.2">
      <c r="D126" s="199"/>
      <c r="I126" s="207"/>
      <c r="J126" s="207"/>
      <c r="K126" s="207"/>
      <c r="L126" s="207"/>
      <c r="M126" s="207"/>
      <c r="N126" s="207"/>
      <c r="O126" s="207"/>
      <c r="P126" s="207"/>
      <c r="Q126" s="207"/>
      <c r="R126" s="207"/>
      <c r="S126" s="207"/>
    </row>
    <row r="127" spans="4:19" s="182" customFormat="1" x14ac:dyDescent="0.2">
      <c r="D127" s="199"/>
      <c r="I127" s="207"/>
      <c r="J127" s="207"/>
      <c r="K127" s="207"/>
      <c r="L127" s="207"/>
      <c r="M127" s="207"/>
      <c r="N127" s="207"/>
      <c r="O127" s="207"/>
      <c r="P127" s="207"/>
      <c r="Q127" s="207"/>
      <c r="R127" s="207"/>
      <c r="S127" s="207"/>
    </row>
    <row r="128" spans="4:19" s="182" customFormat="1" x14ac:dyDescent="0.2">
      <c r="D128" s="199"/>
      <c r="I128" s="207"/>
      <c r="J128" s="207"/>
      <c r="K128" s="207"/>
      <c r="L128" s="207"/>
      <c r="M128" s="207"/>
      <c r="N128" s="207"/>
      <c r="O128" s="207"/>
      <c r="P128" s="207"/>
      <c r="Q128" s="207"/>
      <c r="R128" s="207"/>
      <c r="S128" s="207"/>
    </row>
    <row r="129" spans="4:19" s="182" customFormat="1" x14ac:dyDescent="0.2">
      <c r="D129" s="199"/>
      <c r="I129" s="207"/>
      <c r="J129" s="207"/>
      <c r="K129" s="207"/>
      <c r="L129" s="207"/>
      <c r="M129" s="207"/>
      <c r="N129" s="207"/>
      <c r="O129" s="207"/>
      <c r="P129" s="207"/>
      <c r="Q129" s="207"/>
      <c r="R129" s="207"/>
      <c r="S129" s="207"/>
    </row>
    <row r="130" spans="4:19" s="182" customFormat="1" x14ac:dyDescent="0.2">
      <c r="D130" s="199"/>
      <c r="I130" s="207"/>
      <c r="J130" s="207"/>
      <c r="K130" s="207"/>
      <c r="L130" s="207"/>
      <c r="M130" s="207"/>
      <c r="N130" s="207"/>
      <c r="O130" s="207"/>
      <c r="P130" s="207"/>
      <c r="Q130" s="207"/>
      <c r="R130" s="207"/>
      <c r="S130" s="207"/>
    </row>
    <row r="131" spans="4:19" s="182" customFormat="1" x14ac:dyDescent="0.2">
      <c r="D131" s="199"/>
      <c r="I131" s="207"/>
      <c r="J131" s="207"/>
      <c r="K131" s="207"/>
      <c r="L131" s="207"/>
      <c r="M131" s="207"/>
      <c r="N131" s="207"/>
      <c r="O131" s="207"/>
      <c r="P131" s="207"/>
      <c r="Q131" s="207"/>
      <c r="R131" s="207"/>
      <c r="S131" s="207"/>
    </row>
    <row r="132" spans="4:19" s="182" customFormat="1" x14ac:dyDescent="0.2">
      <c r="D132" s="199"/>
      <c r="I132" s="207"/>
      <c r="J132" s="207"/>
      <c r="K132" s="207"/>
      <c r="L132" s="207"/>
      <c r="M132" s="207"/>
      <c r="N132" s="207"/>
      <c r="O132" s="207"/>
      <c r="P132" s="207"/>
      <c r="Q132" s="207"/>
      <c r="R132" s="207"/>
      <c r="S132" s="207"/>
    </row>
    <row r="133" spans="4:19" s="182" customFormat="1" x14ac:dyDescent="0.2">
      <c r="D133" s="199"/>
      <c r="I133" s="207"/>
      <c r="J133" s="207"/>
      <c r="K133" s="207"/>
      <c r="L133" s="207"/>
      <c r="M133" s="207"/>
      <c r="N133" s="207"/>
      <c r="O133" s="207"/>
      <c r="P133" s="207"/>
      <c r="Q133" s="207"/>
      <c r="R133" s="207"/>
      <c r="S133" s="207"/>
    </row>
    <row r="134" spans="4:19" s="182" customFormat="1" x14ac:dyDescent="0.2">
      <c r="D134" s="199"/>
      <c r="I134" s="207"/>
      <c r="J134" s="207"/>
      <c r="K134" s="207"/>
      <c r="L134" s="207"/>
      <c r="M134" s="207"/>
      <c r="N134" s="207"/>
      <c r="O134" s="207"/>
      <c r="P134" s="207"/>
      <c r="Q134" s="207"/>
      <c r="R134" s="207"/>
      <c r="S134" s="207"/>
    </row>
    <row r="135" spans="4:19" s="182" customFormat="1" x14ac:dyDescent="0.2">
      <c r="D135" s="199"/>
      <c r="I135" s="207"/>
      <c r="J135" s="207"/>
      <c r="K135" s="207"/>
      <c r="L135" s="207"/>
      <c r="M135" s="207"/>
      <c r="N135" s="207"/>
      <c r="O135" s="207"/>
      <c r="P135" s="207"/>
      <c r="Q135" s="207"/>
      <c r="R135" s="207"/>
      <c r="S135" s="207"/>
    </row>
    <row r="136" spans="4:19" s="182" customFormat="1" x14ac:dyDescent="0.2">
      <c r="D136" s="199"/>
      <c r="I136" s="207"/>
      <c r="J136" s="207"/>
      <c r="K136" s="207"/>
      <c r="L136" s="207"/>
      <c r="M136" s="207"/>
      <c r="N136" s="207"/>
      <c r="O136" s="207"/>
      <c r="P136" s="207"/>
      <c r="Q136" s="207"/>
      <c r="R136" s="207"/>
      <c r="S136" s="207"/>
    </row>
    <row r="137" spans="4:19" s="182" customFormat="1" x14ac:dyDescent="0.2">
      <c r="D137" s="199"/>
      <c r="I137" s="207"/>
      <c r="J137" s="207"/>
      <c r="K137" s="207"/>
      <c r="L137" s="207"/>
      <c r="M137" s="207"/>
      <c r="N137" s="207"/>
      <c r="O137" s="207"/>
      <c r="P137" s="207"/>
      <c r="Q137" s="207"/>
      <c r="R137" s="207"/>
      <c r="S137" s="207"/>
    </row>
    <row r="138" spans="4:19" s="182" customFormat="1" x14ac:dyDescent="0.2">
      <c r="D138" s="199"/>
      <c r="I138" s="207"/>
      <c r="J138" s="207"/>
      <c r="K138" s="207"/>
      <c r="L138" s="207"/>
      <c r="M138" s="207"/>
      <c r="N138" s="207"/>
      <c r="O138" s="207"/>
      <c r="P138" s="207"/>
      <c r="Q138" s="207"/>
      <c r="R138" s="207"/>
      <c r="S138" s="207"/>
    </row>
    <row r="139" spans="4:19" s="182" customFormat="1" x14ac:dyDescent="0.2">
      <c r="D139" s="199"/>
      <c r="I139" s="207"/>
      <c r="J139" s="207"/>
      <c r="K139" s="207"/>
      <c r="L139" s="207"/>
      <c r="M139" s="207"/>
      <c r="N139" s="207"/>
      <c r="O139" s="207"/>
      <c r="P139" s="207"/>
      <c r="Q139" s="207"/>
      <c r="R139" s="207"/>
      <c r="S139" s="207"/>
    </row>
    <row r="140" spans="4:19" s="182" customFormat="1" x14ac:dyDescent="0.2">
      <c r="D140" s="199"/>
      <c r="I140" s="207"/>
      <c r="J140" s="207"/>
      <c r="K140" s="207"/>
      <c r="L140" s="207"/>
      <c r="M140" s="207"/>
      <c r="N140" s="207"/>
      <c r="O140" s="207"/>
      <c r="P140" s="207"/>
      <c r="Q140" s="207"/>
      <c r="R140" s="207"/>
      <c r="S140" s="207"/>
    </row>
    <row r="141" spans="4:19" s="182" customFormat="1" x14ac:dyDescent="0.2">
      <c r="D141" s="199"/>
      <c r="I141" s="207"/>
      <c r="J141" s="207"/>
      <c r="K141" s="207"/>
      <c r="L141" s="207"/>
      <c r="M141" s="207"/>
      <c r="N141" s="207"/>
      <c r="O141" s="207"/>
      <c r="P141" s="207"/>
      <c r="Q141" s="207"/>
      <c r="R141" s="207"/>
      <c r="S141" s="207"/>
    </row>
    <row r="142" spans="4:19" s="182" customFormat="1" x14ac:dyDescent="0.2">
      <c r="D142" s="199"/>
      <c r="I142" s="207"/>
      <c r="J142" s="207"/>
      <c r="K142" s="207"/>
      <c r="L142" s="207"/>
      <c r="M142" s="207"/>
      <c r="N142" s="207"/>
      <c r="O142" s="207"/>
      <c r="P142" s="207"/>
      <c r="Q142" s="207"/>
      <c r="R142" s="207"/>
      <c r="S142" s="207"/>
    </row>
    <row r="143" spans="4:19" s="182" customFormat="1" x14ac:dyDescent="0.2">
      <c r="D143" s="199"/>
      <c r="I143" s="207"/>
      <c r="J143" s="207"/>
      <c r="K143" s="207"/>
      <c r="L143" s="207"/>
      <c r="M143" s="207"/>
      <c r="N143" s="207"/>
      <c r="O143" s="207"/>
      <c r="P143" s="207"/>
      <c r="Q143" s="207"/>
      <c r="R143" s="207"/>
      <c r="S143" s="207"/>
    </row>
    <row r="144" spans="4:19" s="182" customFormat="1" x14ac:dyDescent="0.2">
      <c r="D144" s="199"/>
      <c r="I144" s="207"/>
      <c r="J144" s="207"/>
      <c r="K144" s="207"/>
      <c r="L144" s="207"/>
      <c r="M144" s="207"/>
      <c r="N144" s="207"/>
      <c r="O144" s="207"/>
      <c r="P144" s="207"/>
      <c r="Q144" s="207"/>
      <c r="R144" s="207"/>
      <c r="S144" s="207"/>
    </row>
    <row r="145" spans="4:19" s="182" customFormat="1" x14ac:dyDescent="0.2">
      <c r="D145" s="199"/>
      <c r="I145" s="207"/>
      <c r="J145" s="207"/>
      <c r="K145" s="207"/>
      <c r="L145" s="207"/>
      <c r="M145" s="207"/>
      <c r="N145" s="207"/>
      <c r="O145" s="207"/>
      <c r="P145" s="207"/>
      <c r="Q145" s="207"/>
      <c r="R145" s="207"/>
      <c r="S145" s="207"/>
    </row>
    <row r="146" spans="4:19" s="182" customFormat="1" x14ac:dyDescent="0.2">
      <c r="D146" s="199"/>
      <c r="I146" s="207"/>
      <c r="J146" s="207"/>
      <c r="K146" s="207"/>
      <c r="L146" s="207"/>
      <c r="M146" s="207"/>
      <c r="N146" s="207"/>
      <c r="O146" s="207"/>
      <c r="P146" s="207"/>
      <c r="Q146" s="207"/>
      <c r="R146" s="207"/>
      <c r="S146" s="207"/>
    </row>
    <row r="147" spans="4:19" s="182" customFormat="1" x14ac:dyDescent="0.2">
      <c r="D147" s="199"/>
      <c r="I147" s="207"/>
      <c r="J147" s="207"/>
      <c r="K147" s="207"/>
      <c r="L147" s="207"/>
      <c r="M147" s="207"/>
      <c r="N147" s="207"/>
      <c r="O147" s="207"/>
      <c r="P147" s="207"/>
      <c r="Q147" s="207"/>
      <c r="R147" s="207"/>
      <c r="S147" s="207"/>
    </row>
  </sheetData>
  <sheetProtection algorithmName="SHA-512" hashValue="C/cCnlw6VCh4hs4FEKLTVD9EduQ8R8MVUXNWCpntxwhKxqkHz2OyCCStR99x6BAl4Li46rf915hlwxizmIw+gg==" saltValue="ljfejb5pBUvBO3vDazIAdw==" spinCount="100000" sheet="1" objects="1" scenarios="1"/>
  <autoFilter ref="A10:Y93"/>
  <mergeCells count="332">
    <mergeCell ref="A96:Q96"/>
    <mergeCell ref="B40:B43"/>
    <mergeCell ref="C40:C43"/>
    <mergeCell ref="B24:B27"/>
    <mergeCell ref="C24:C27"/>
    <mergeCell ref="A28:A31"/>
    <mergeCell ref="B28:B31"/>
    <mergeCell ref="C28:C31"/>
    <mergeCell ref="A32:A35"/>
    <mergeCell ref="B32:B35"/>
    <mergeCell ref="C32:C35"/>
    <mergeCell ref="A99:E99"/>
    <mergeCell ref="A100:E100"/>
    <mergeCell ref="A97:E97"/>
    <mergeCell ref="A98:E98"/>
    <mergeCell ref="D83:D84"/>
    <mergeCell ref="F77:F78"/>
    <mergeCell ref="D45:D46"/>
    <mergeCell ref="D47:D48"/>
    <mergeCell ref="F73:F74"/>
    <mergeCell ref="F69:F70"/>
    <mergeCell ref="F65:F66"/>
    <mergeCell ref="F61:F62"/>
    <mergeCell ref="F57:F58"/>
    <mergeCell ref="F53:F54"/>
    <mergeCell ref="F49:F50"/>
    <mergeCell ref="E49:E50"/>
    <mergeCell ref="D51:D52"/>
    <mergeCell ref="D49:D50"/>
    <mergeCell ref="E53:E54"/>
    <mergeCell ref="D53:D54"/>
    <mergeCell ref="D55:D56"/>
    <mergeCell ref="A94:E94"/>
    <mergeCell ref="A95:E95"/>
    <mergeCell ref="F81:F82"/>
    <mergeCell ref="G81:G82"/>
    <mergeCell ref="A83:A84"/>
    <mergeCell ref="B83:B84"/>
    <mergeCell ref="E83:E84"/>
    <mergeCell ref="F83:F84"/>
    <mergeCell ref="G83:G84"/>
    <mergeCell ref="A81:A82"/>
    <mergeCell ref="B81:B82"/>
    <mergeCell ref="C81:C82"/>
    <mergeCell ref="E81:E82"/>
    <mergeCell ref="C83:C84"/>
    <mergeCell ref="D81:D82"/>
    <mergeCell ref="A89:A90"/>
    <mergeCell ref="B89:B90"/>
    <mergeCell ref="C89:C90"/>
    <mergeCell ref="D89:D90"/>
    <mergeCell ref="E89:E90"/>
    <mergeCell ref="F89:F90"/>
    <mergeCell ref="G89:G90"/>
    <mergeCell ref="A93:D93"/>
    <mergeCell ref="G91:G92"/>
    <mergeCell ref="G77:G78"/>
    <mergeCell ref="A79:A80"/>
    <mergeCell ref="B79:B80"/>
    <mergeCell ref="C79:C80"/>
    <mergeCell ref="E79:E80"/>
    <mergeCell ref="F79:F80"/>
    <mergeCell ref="G79:G80"/>
    <mergeCell ref="A77:A78"/>
    <mergeCell ref="B77:B78"/>
    <mergeCell ref="C77:C78"/>
    <mergeCell ref="E77:E78"/>
    <mergeCell ref="D79:D80"/>
    <mergeCell ref="D77:D78"/>
    <mergeCell ref="G73:G74"/>
    <mergeCell ref="A75:A76"/>
    <mergeCell ref="B75:B76"/>
    <mergeCell ref="C75:C76"/>
    <mergeCell ref="E75:E76"/>
    <mergeCell ref="F75:F76"/>
    <mergeCell ref="G75:G76"/>
    <mergeCell ref="A73:A74"/>
    <mergeCell ref="B73:B74"/>
    <mergeCell ref="C73:C74"/>
    <mergeCell ref="E73:E74"/>
    <mergeCell ref="D75:D76"/>
    <mergeCell ref="D73:D74"/>
    <mergeCell ref="G69:G70"/>
    <mergeCell ref="A71:A72"/>
    <mergeCell ref="B71:B72"/>
    <mergeCell ref="C71:C72"/>
    <mergeCell ref="E71:E72"/>
    <mergeCell ref="F71:F72"/>
    <mergeCell ref="G71:G72"/>
    <mergeCell ref="A69:A70"/>
    <mergeCell ref="B69:B70"/>
    <mergeCell ref="C69:C70"/>
    <mergeCell ref="E69:E70"/>
    <mergeCell ref="D69:D70"/>
    <mergeCell ref="D71:D72"/>
    <mergeCell ref="C67:C68"/>
    <mergeCell ref="E67:E68"/>
    <mergeCell ref="F67:F68"/>
    <mergeCell ref="G67:G68"/>
    <mergeCell ref="A65:A66"/>
    <mergeCell ref="B65:B66"/>
    <mergeCell ref="C65:C66"/>
    <mergeCell ref="E65:E66"/>
    <mergeCell ref="D67:D68"/>
    <mergeCell ref="D65:D66"/>
    <mergeCell ref="A5:Y5"/>
    <mergeCell ref="A6:Y6"/>
    <mergeCell ref="G45:G46"/>
    <mergeCell ref="A47:A48"/>
    <mergeCell ref="B47:B48"/>
    <mergeCell ref="C47:C48"/>
    <mergeCell ref="E47:E48"/>
    <mergeCell ref="F47:F48"/>
    <mergeCell ref="G47:G48"/>
    <mergeCell ref="A45:A46"/>
    <mergeCell ref="B45:B46"/>
    <mergeCell ref="C45:C46"/>
    <mergeCell ref="E45:E46"/>
    <mergeCell ref="F45:F46"/>
    <mergeCell ref="A11:D11"/>
    <mergeCell ref="A44:D44"/>
    <mergeCell ref="A40:A43"/>
    <mergeCell ref="A12:A16"/>
    <mergeCell ref="B12:B16"/>
    <mergeCell ref="C12:C16"/>
    <mergeCell ref="A17:A20"/>
    <mergeCell ref="B17:B20"/>
    <mergeCell ref="C17:C20"/>
    <mergeCell ref="A21:A23"/>
    <mergeCell ref="G49:G50"/>
    <mergeCell ref="A51:A52"/>
    <mergeCell ref="B51:B52"/>
    <mergeCell ref="C51:C52"/>
    <mergeCell ref="E51:E52"/>
    <mergeCell ref="F51:F52"/>
    <mergeCell ref="G51:G52"/>
    <mergeCell ref="G57:G58"/>
    <mergeCell ref="A59:A60"/>
    <mergeCell ref="B55:B56"/>
    <mergeCell ref="C55:C56"/>
    <mergeCell ref="E55:E56"/>
    <mergeCell ref="F55:F56"/>
    <mergeCell ref="G55:G56"/>
    <mergeCell ref="A53:A54"/>
    <mergeCell ref="B53:B54"/>
    <mergeCell ref="A49:A50"/>
    <mergeCell ref="B49:B50"/>
    <mergeCell ref="C49:C50"/>
    <mergeCell ref="C53:C54"/>
    <mergeCell ref="B59:B60"/>
    <mergeCell ref="C59:C60"/>
    <mergeCell ref="E59:E60"/>
    <mergeCell ref="F59:F60"/>
    <mergeCell ref="B21:B23"/>
    <mergeCell ref="C21:C23"/>
    <mergeCell ref="A24:A27"/>
    <mergeCell ref="A91:A92"/>
    <mergeCell ref="B91:B92"/>
    <mergeCell ref="C91:C92"/>
    <mergeCell ref="D91:D92"/>
    <mergeCell ref="E91:E92"/>
    <mergeCell ref="F91:F92"/>
    <mergeCell ref="B85:B86"/>
    <mergeCell ref="A87:A88"/>
    <mergeCell ref="B87:B88"/>
    <mergeCell ref="C87:C88"/>
    <mergeCell ref="D87:D88"/>
    <mergeCell ref="E87:E88"/>
    <mergeCell ref="F87:F88"/>
    <mergeCell ref="A57:A58"/>
    <mergeCell ref="B57:B58"/>
    <mergeCell ref="C57:C58"/>
    <mergeCell ref="E57:E58"/>
    <mergeCell ref="D57:D58"/>
    <mergeCell ref="D59:D60"/>
    <mergeCell ref="A63:A64"/>
    <mergeCell ref="B67:B68"/>
    <mergeCell ref="G87:G88"/>
    <mergeCell ref="A85:A86"/>
    <mergeCell ref="C85:C86"/>
    <mergeCell ref="D85:D86"/>
    <mergeCell ref="E85:E86"/>
    <mergeCell ref="F85:F86"/>
    <mergeCell ref="G85:G86"/>
    <mergeCell ref="G53:G54"/>
    <mergeCell ref="A55:A56"/>
    <mergeCell ref="G59:G60"/>
    <mergeCell ref="G61:G62"/>
    <mergeCell ref="B63:B64"/>
    <mergeCell ref="C63:C64"/>
    <mergeCell ref="E63:E64"/>
    <mergeCell ref="F63:F64"/>
    <mergeCell ref="G63:G64"/>
    <mergeCell ref="A61:A62"/>
    <mergeCell ref="B61:B62"/>
    <mergeCell ref="C61:C62"/>
    <mergeCell ref="E61:E62"/>
    <mergeCell ref="D61:D62"/>
    <mergeCell ref="D63:D64"/>
    <mergeCell ref="G65:G66"/>
    <mergeCell ref="A67:A68"/>
    <mergeCell ref="U45:U46"/>
    <mergeCell ref="U47:U48"/>
    <mergeCell ref="U49:U50"/>
    <mergeCell ref="U51:U52"/>
    <mergeCell ref="U53:U54"/>
    <mergeCell ref="U55:U56"/>
    <mergeCell ref="U57:U58"/>
    <mergeCell ref="U59:U60"/>
    <mergeCell ref="U61:U62"/>
    <mergeCell ref="U63:U64"/>
    <mergeCell ref="U65:U66"/>
    <mergeCell ref="U67:U68"/>
    <mergeCell ref="U69:U70"/>
    <mergeCell ref="U71:U72"/>
    <mergeCell ref="U73:U74"/>
    <mergeCell ref="U75:U76"/>
    <mergeCell ref="U77:U78"/>
    <mergeCell ref="U79:U80"/>
    <mergeCell ref="V85:V86"/>
    <mergeCell ref="U81:U82"/>
    <mergeCell ref="U83:U84"/>
    <mergeCell ref="U85:U86"/>
    <mergeCell ref="W45:W46"/>
    <mergeCell ref="W47:W48"/>
    <mergeCell ref="W49:W50"/>
    <mergeCell ref="W51:W52"/>
    <mergeCell ref="W53:W54"/>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X81:X82"/>
    <mergeCell ref="X83:X84"/>
    <mergeCell ref="X85:X86"/>
    <mergeCell ref="W85:W86"/>
    <mergeCell ref="V45:V46"/>
    <mergeCell ref="V47:V48"/>
    <mergeCell ref="V49:V50"/>
    <mergeCell ref="V51:V52"/>
    <mergeCell ref="V53:V54"/>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X63:X64"/>
    <mergeCell ref="X65:X66"/>
    <mergeCell ref="X67:X68"/>
    <mergeCell ref="X69:X70"/>
    <mergeCell ref="X71:X72"/>
    <mergeCell ref="X73:X74"/>
    <mergeCell ref="X75:X76"/>
    <mergeCell ref="X77:X78"/>
    <mergeCell ref="X79:X80"/>
    <mergeCell ref="X45:X46"/>
    <mergeCell ref="X47:X48"/>
    <mergeCell ref="X49:X50"/>
    <mergeCell ref="X51:X52"/>
    <mergeCell ref="X53:X54"/>
    <mergeCell ref="X55:X56"/>
    <mergeCell ref="X57:X58"/>
    <mergeCell ref="X59:X60"/>
    <mergeCell ref="X61:X62"/>
    <mergeCell ref="U87:U88"/>
    <mergeCell ref="U89:U90"/>
    <mergeCell ref="U91:U92"/>
    <mergeCell ref="W87:W88"/>
    <mergeCell ref="W89:W90"/>
    <mergeCell ref="W91:W92"/>
    <mergeCell ref="X87:X88"/>
    <mergeCell ref="X89:X90"/>
    <mergeCell ref="X91:X92"/>
    <mergeCell ref="V87:V88"/>
    <mergeCell ref="V89:V90"/>
    <mergeCell ref="V91:V92"/>
    <mergeCell ref="Y59:Y60"/>
    <mergeCell ref="Y57:Y58"/>
    <mergeCell ref="Y87:Y88"/>
    <mergeCell ref="Y89:Y90"/>
    <mergeCell ref="Y91:Y92"/>
    <mergeCell ref="Y81:Y82"/>
    <mergeCell ref="Y83:Y84"/>
    <mergeCell ref="Y85:Y86"/>
    <mergeCell ref="Y79:Y80"/>
    <mergeCell ref="Y77:Y78"/>
    <mergeCell ref="Y75:Y76"/>
    <mergeCell ref="R18:S20"/>
    <mergeCell ref="B36:B39"/>
    <mergeCell ref="C36:C39"/>
    <mergeCell ref="A36:A39"/>
    <mergeCell ref="T95:W95"/>
    <mergeCell ref="Y55:Y56"/>
    <mergeCell ref="Y53:Y54"/>
    <mergeCell ref="Y51:Y52"/>
    <mergeCell ref="Y49:Y50"/>
    <mergeCell ref="Y47:Y48"/>
    <mergeCell ref="Y45:Y46"/>
    <mergeCell ref="Y17:Y20"/>
    <mergeCell ref="Y21:Y23"/>
    <mergeCell ref="Y24:Y27"/>
    <mergeCell ref="Y28:Y31"/>
    <mergeCell ref="Y32:Y35"/>
    <mergeCell ref="Y40:Y43"/>
    <mergeCell ref="Y73:Y74"/>
    <mergeCell ref="Y71:Y72"/>
    <mergeCell ref="Y69:Y70"/>
    <mergeCell ref="Y67:Y68"/>
    <mergeCell ref="Y65:Y66"/>
    <mergeCell ref="Y63:Y64"/>
    <mergeCell ref="Y61:Y62"/>
  </mergeCells>
  <pageMargins left="0" right="0" top="0" bottom="0" header="0.31496062992125984" footer="0.31496062992125984"/>
  <pageSetup paperSize="9" scale="28" orientation="landscape" r:id="rId1"/>
  <rowBreaks count="1" manualBreakCount="1">
    <brk id="43"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4"/>
  <sheetViews>
    <sheetView topLeftCell="A19" workbookViewId="0">
      <selection activeCell="B51" sqref="B51:B52"/>
    </sheetView>
  </sheetViews>
  <sheetFormatPr baseColWidth="10" defaultRowHeight="12.75" x14ac:dyDescent="0.2"/>
  <cols>
    <col min="2" max="2" width="51.28515625" customWidth="1"/>
    <col min="3" max="3" width="19.7109375" customWidth="1"/>
    <col min="4" max="4" width="22" customWidth="1"/>
    <col min="5" max="5" width="19" customWidth="1"/>
    <col min="6" max="6" width="16.85546875" style="181" customWidth="1"/>
  </cols>
  <sheetData>
    <row r="1" spans="1:6" ht="27.6" customHeight="1" x14ac:dyDescent="0.2">
      <c r="A1" s="53"/>
      <c r="B1" s="54"/>
      <c r="C1" s="538" t="s">
        <v>338</v>
      </c>
      <c r="D1" s="538"/>
      <c r="E1" s="538"/>
      <c r="F1" s="179"/>
    </row>
    <row r="2" spans="1:6" ht="72.599999999999994" customHeight="1" x14ac:dyDescent="0.2">
      <c r="A2" s="55"/>
      <c r="B2" s="56"/>
      <c r="C2" s="107" t="s">
        <v>415</v>
      </c>
      <c r="D2" s="159" t="s">
        <v>414</v>
      </c>
      <c r="E2" s="159" t="s">
        <v>502</v>
      </c>
      <c r="F2" s="180" t="s">
        <v>501</v>
      </c>
    </row>
    <row r="3" spans="1:6" x14ac:dyDescent="0.2">
      <c r="A3" s="536" t="s">
        <v>339</v>
      </c>
      <c r="B3" s="57" t="s">
        <v>332</v>
      </c>
      <c r="C3" s="57"/>
      <c r="D3" s="82"/>
      <c r="E3" s="82"/>
      <c r="F3" s="82"/>
    </row>
    <row r="4" spans="1:6" x14ac:dyDescent="0.2">
      <c r="A4" s="537"/>
      <c r="B4" s="146" t="s">
        <v>331</v>
      </c>
      <c r="C4" s="146"/>
      <c r="D4" s="76"/>
      <c r="E4" s="76"/>
      <c r="F4" s="76"/>
    </row>
    <row r="5" spans="1:6" x14ac:dyDescent="0.2">
      <c r="A5" s="509"/>
      <c r="B5" s="534" t="s">
        <v>416</v>
      </c>
      <c r="C5" s="161"/>
      <c r="D5" s="513">
        <v>249810</v>
      </c>
      <c r="E5" s="513">
        <f>+D5+D7+D9+D11+D13+D15+D17</f>
        <v>1561490</v>
      </c>
      <c r="F5" s="515"/>
    </row>
    <row r="6" spans="1:6" x14ac:dyDescent="0.2">
      <c r="A6" s="510"/>
      <c r="B6" s="535"/>
      <c r="C6" s="162"/>
      <c r="D6" s="514"/>
      <c r="E6" s="533"/>
      <c r="F6" s="569"/>
    </row>
    <row r="7" spans="1:6" x14ac:dyDescent="0.2">
      <c r="A7" s="509"/>
      <c r="B7" s="534" t="s">
        <v>417</v>
      </c>
      <c r="C7" s="161"/>
      <c r="D7" s="513">
        <v>249810</v>
      </c>
      <c r="E7" s="533"/>
      <c r="F7" s="569"/>
    </row>
    <row r="8" spans="1:6" x14ac:dyDescent="0.2">
      <c r="A8" s="510"/>
      <c r="B8" s="535"/>
      <c r="C8" s="162"/>
      <c r="D8" s="514"/>
      <c r="E8" s="533"/>
      <c r="F8" s="569"/>
    </row>
    <row r="9" spans="1:6" x14ac:dyDescent="0.2">
      <c r="A9" s="509"/>
      <c r="B9" s="534" t="s">
        <v>418</v>
      </c>
      <c r="C9" s="164"/>
      <c r="D9" s="513">
        <v>304420</v>
      </c>
      <c r="E9" s="533"/>
      <c r="F9" s="569"/>
    </row>
    <row r="10" spans="1:6" x14ac:dyDescent="0.2">
      <c r="A10" s="510"/>
      <c r="B10" s="535"/>
      <c r="C10" s="165"/>
      <c r="D10" s="514"/>
      <c r="E10" s="533"/>
      <c r="F10" s="569"/>
    </row>
    <row r="11" spans="1:6" x14ac:dyDescent="0.2">
      <c r="A11" s="166"/>
      <c r="B11" s="534" t="s">
        <v>419</v>
      </c>
      <c r="C11" s="164"/>
      <c r="D11" s="513">
        <v>202990</v>
      </c>
      <c r="E11" s="533"/>
      <c r="F11" s="569"/>
    </row>
    <row r="12" spans="1:6" x14ac:dyDescent="0.2">
      <c r="A12" s="166"/>
      <c r="B12" s="535"/>
      <c r="C12" s="165"/>
      <c r="D12" s="514"/>
      <c r="E12" s="533"/>
      <c r="F12" s="569"/>
    </row>
    <row r="13" spans="1:6" x14ac:dyDescent="0.2">
      <c r="A13" s="166"/>
      <c r="B13" s="534" t="s">
        <v>420</v>
      </c>
      <c r="C13" s="164"/>
      <c r="D13" s="513">
        <v>242140</v>
      </c>
      <c r="E13" s="533"/>
      <c r="F13" s="569"/>
    </row>
    <row r="14" spans="1:6" x14ac:dyDescent="0.2">
      <c r="A14" s="166"/>
      <c r="B14" s="535"/>
      <c r="C14" s="165"/>
      <c r="D14" s="514"/>
      <c r="E14" s="533"/>
      <c r="F14" s="569"/>
    </row>
    <row r="15" spans="1:6" x14ac:dyDescent="0.2">
      <c r="A15" s="166"/>
      <c r="B15" s="534" t="s">
        <v>421</v>
      </c>
      <c r="C15" s="164"/>
      <c r="D15" s="513">
        <v>234240</v>
      </c>
      <c r="E15" s="533"/>
      <c r="F15" s="569"/>
    </row>
    <row r="16" spans="1:6" x14ac:dyDescent="0.2">
      <c r="A16" s="166"/>
      <c r="B16" s="535"/>
      <c r="C16" s="165"/>
      <c r="D16" s="514"/>
      <c r="E16" s="533"/>
      <c r="F16" s="569"/>
    </row>
    <row r="17" spans="1:6" x14ac:dyDescent="0.2">
      <c r="A17" s="166"/>
      <c r="B17" s="534" t="s">
        <v>422</v>
      </c>
      <c r="C17" s="164"/>
      <c r="D17" s="513">
        <v>78080</v>
      </c>
      <c r="E17" s="533"/>
      <c r="F17" s="569"/>
    </row>
    <row r="18" spans="1:6" x14ac:dyDescent="0.2">
      <c r="A18" s="166"/>
      <c r="B18" s="535"/>
      <c r="C18" s="165"/>
      <c r="D18" s="514"/>
      <c r="E18" s="514"/>
      <c r="F18" s="516"/>
    </row>
    <row r="19" spans="1:6" x14ac:dyDescent="0.2">
      <c r="A19" s="166"/>
      <c r="B19" s="539" t="s">
        <v>423</v>
      </c>
      <c r="C19" s="165"/>
      <c r="D19" s="513">
        <v>208350</v>
      </c>
      <c r="E19" s="513">
        <f>+D19+D21+D23+D25+D27+D29</f>
        <v>600022</v>
      </c>
      <c r="F19" s="515"/>
    </row>
    <row r="20" spans="1:6" x14ac:dyDescent="0.2">
      <c r="A20" s="166"/>
      <c r="B20" s="540"/>
      <c r="C20" s="165"/>
      <c r="D20" s="514"/>
      <c r="E20" s="533"/>
      <c r="F20" s="569"/>
    </row>
    <row r="21" spans="1:6" ht="12.75" customHeight="1" x14ac:dyDescent="0.2">
      <c r="A21" s="166"/>
      <c r="B21" s="539" t="s">
        <v>424</v>
      </c>
      <c r="C21" s="165"/>
      <c r="D21" s="513">
        <v>45000</v>
      </c>
      <c r="E21" s="533"/>
      <c r="F21" s="569"/>
    </row>
    <row r="22" spans="1:6" x14ac:dyDescent="0.2">
      <c r="A22" s="166"/>
      <c r="B22" s="540"/>
      <c r="C22" s="165"/>
      <c r="D22" s="514"/>
      <c r="E22" s="533"/>
      <c r="F22" s="569"/>
    </row>
    <row r="23" spans="1:6" ht="12.75" customHeight="1" x14ac:dyDescent="0.2">
      <c r="A23" s="166"/>
      <c r="B23" s="539" t="s">
        <v>425</v>
      </c>
      <c r="C23" s="165"/>
      <c r="D23" s="513">
        <v>156102</v>
      </c>
      <c r="E23" s="533"/>
      <c r="F23" s="569"/>
    </row>
    <row r="24" spans="1:6" x14ac:dyDescent="0.2">
      <c r="A24" s="166"/>
      <c r="B24" s="540"/>
      <c r="C24" s="165"/>
      <c r="D24" s="514"/>
      <c r="E24" s="533"/>
      <c r="F24" s="569"/>
    </row>
    <row r="25" spans="1:6" ht="12.75" customHeight="1" x14ac:dyDescent="0.2">
      <c r="A25" s="166"/>
      <c r="B25" s="539" t="s">
        <v>426</v>
      </c>
      <c r="C25" s="165"/>
      <c r="D25" s="513">
        <v>30670</v>
      </c>
      <c r="E25" s="533"/>
      <c r="F25" s="569"/>
    </row>
    <row r="26" spans="1:6" x14ac:dyDescent="0.2">
      <c r="A26" s="166"/>
      <c r="B26" s="540"/>
      <c r="C26" s="165"/>
      <c r="D26" s="514"/>
      <c r="E26" s="533"/>
      <c r="F26" s="569"/>
    </row>
    <row r="27" spans="1:6" ht="12.75" customHeight="1" x14ac:dyDescent="0.2">
      <c r="A27" s="166"/>
      <c r="B27" s="539" t="s">
        <v>427</v>
      </c>
      <c r="C27" s="165"/>
      <c r="D27" s="513">
        <v>149500</v>
      </c>
      <c r="E27" s="533"/>
      <c r="F27" s="569"/>
    </row>
    <row r="28" spans="1:6" x14ac:dyDescent="0.2">
      <c r="A28" s="166"/>
      <c r="B28" s="540"/>
      <c r="C28" s="165"/>
      <c r="D28" s="514"/>
      <c r="E28" s="533"/>
      <c r="F28" s="569"/>
    </row>
    <row r="29" spans="1:6" ht="12.75" customHeight="1" x14ac:dyDescent="0.2">
      <c r="A29" s="166"/>
      <c r="B29" s="539" t="s">
        <v>428</v>
      </c>
      <c r="C29" s="165"/>
      <c r="D29" s="513">
        <v>10400</v>
      </c>
      <c r="E29" s="533"/>
      <c r="F29" s="569"/>
    </row>
    <row r="30" spans="1:6" x14ac:dyDescent="0.2">
      <c r="A30" s="166"/>
      <c r="B30" s="540"/>
      <c r="C30" s="165"/>
      <c r="D30" s="514"/>
      <c r="E30" s="514"/>
      <c r="F30" s="516"/>
    </row>
    <row r="31" spans="1:6" ht="12.75" customHeight="1" x14ac:dyDescent="0.2">
      <c r="A31" s="166"/>
      <c r="B31" s="541" t="s">
        <v>429</v>
      </c>
      <c r="C31" s="165"/>
      <c r="D31" s="513">
        <v>22240</v>
      </c>
      <c r="E31" s="513">
        <f>+D31+D33</f>
        <v>80240</v>
      </c>
      <c r="F31" s="515"/>
    </row>
    <row r="32" spans="1:6" x14ac:dyDescent="0.2">
      <c r="A32" s="166"/>
      <c r="B32" s="542"/>
      <c r="C32" s="165"/>
      <c r="D32" s="514"/>
      <c r="E32" s="533"/>
      <c r="F32" s="569"/>
    </row>
    <row r="33" spans="1:6" ht="12.75" customHeight="1" x14ac:dyDescent="0.2">
      <c r="A33" s="166"/>
      <c r="B33" s="541" t="s">
        <v>430</v>
      </c>
      <c r="C33" s="165"/>
      <c r="D33" s="513">
        <v>58000</v>
      </c>
      <c r="E33" s="533"/>
      <c r="F33" s="569"/>
    </row>
    <row r="34" spans="1:6" x14ac:dyDescent="0.2">
      <c r="A34" s="166"/>
      <c r="B34" s="542"/>
      <c r="C34" s="165"/>
      <c r="D34" s="514"/>
      <c r="E34" s="514"/>
      <c r="F34" s="516"/>
    </row>
    <row r="35" spans="1:6" x14ac:dyDescent="0.2">
      <c r="A35" s="166"/>
      <c r="B35" s="543" t="s">
        <v>431</v>
      </c>
      <c r="C35" s="165"/>
      <c r="D35" s="513">
        <v>1689600</v>
      </c>
      <c r="E35" s="513">
        <f>+D35+D37+D39+D41+D43+D45+D47+D49+D51+D53+D55+D57</f>
        <v>18480000</v>
      </c>
      <c r="F35" s="515"/>
    </row>
    <row r="36" spans="1:6" x14ac:dyDescent="0.2">
      <c r="A36" s="166"/>
      <c r="B36" s="544"/>
      <c r="C36" s="165"/>
      <c r="D36" s="514"/>
      <c r="E36" s="533"/>
      <c r="F36" s="569"/>
    </row>
    <row r="37" spans="1:6" x14ac:dyDescent="0.2">
      <c r="A37" s="166"/>
      <c r="B37" s="543" t="s">
        <v>432</v>
      </c>
      <c r="C37" s="165"/>
      <c r="D37" s="513">
        <v>1689600</v>
      </c>
      <c r="E37" s="533"/>
      <c r="F37" s="569"/>
    </row>
    <row r="38" spans="1:6" x14ac:dyDescent="0.2">
      <c r="A38" s="166"/>
      <c r="B38" s="544"/>
      <c r="C38" s="165"/>
      <c r="D38" s="514"/>
      <c r="E38" s="533"/>
      <c r="F38" s="569"/>
    </row>
    <row r="39" spans="1:6" x14ac:dyDescent="0.2">
      <c r="A39" s="166"/>
      <c r="B39" s="543" t="s">
        <v>433</v>
      </c>
      <c r="C39" s="165"/>
      <c r="D39" s="513">
        <v>1689600</v>
      </c>
      <c r="E39" s="533"/>
      <c r="F39" s="569"/>
    </row>
    <row r="40" spans="1:6" x14ac:dyDescent="0.2">
      <c r="A40" s="166"/>
      <c r="B40" s="544"/>
      <c r="C40" s="165"/>
      <c r="D40" s="514"/>
      <c r="E40" s="533"/>
      <c r="F40" s="569"/>
    </row>
    <row r="41" spans="1:6" x14ac:dyDescent="0.2">
      <c r="A41" s="166"/>
      <c r="B41" s="543" t="s">
        <v>434</v>
      </c>
      <c r="C41" s="165"/>
      <c r="D41" s="513">
        <v>1689600</v>
      </c>
      <c r="E41" s="533"/>
      <c r="F41" s="569"/>
    </row>
    <row r="42" spans="1:6" x14ac:dyDescent="0.2">
      <c r="A42" s="166"/>
      <c r="B42" s="544"/>
      <c r="C42" s="165"/>
      <c r="D42" s="514"/>
      <c r="E42" s="533"/>
      <c r="F42" s="569"/>
    </row>
    <row r="43" spans="1:6" x14ac:dyDescent="0.2">
      <c r="A43" s="166"/>
      <c r="B43" s="543" t="s">
        <v>435</v>
      </c>
      <c r="C43" s="165"/>
      <c r="D43" s="513">
        <v>1372800</v>
      </c>
      <c r="E43" s="533"/>
      <c r="F43" s="569"/>
    </row>
    <row r="44" spans="1:6" x14ac:dyDescent="0.2">
      <c r="A44" s="166"/>
      <c r="B44" s="544"/>
      <c r="C44" s="165"/>
      <c r="D44" s="514"/>
      <c r="E44" s="533"/>
      <c r="F44" s="569"/>
    </row>
    <row r="45" spans="1:6" x14ac:dyDescent="0.2">
      <c r="A45" s="166"/>
      <c r="B45" s="543" t="s">
        <v>436</v>
      </c>
      <c r="C45" s="165"/>
      <c r="D45" s="513">
        <v>1372800</v>
      </c>
      <c r="E45" s="533"/>
      <c r="F45" s="569"/>
    </row>
    <row r="46" spans="1:6" x14ac:dyDescent="0.2">
      <c r="A46" s="166"/>
      <c r="B46" s="544"/>
      <c r="C46" s="165"/>
      <c r="D46" s="514"/>
      <c r="E46" s="533"/>
      <c r="F46" s="569"/>
    </row>
    <row r="47" spans="1:6" x14ac:dyDescent="0.2">
      <c r="A47" s="166"/>
      <c r="B47" s="543" t="s">
        <v>437</v>
      </c>
      <c r="C47" s="165"/>
      <c r="D47" s="513">
        <v>1372800</v>
      </c>
      <c r="E47" s="533"/>
      <c r="F47" s="569"/>
    </row>
    <row r="48" spans="1:6" x14ac:dyDescent="0.2">
      <c r="A48" s="166"/>
      <c r="B48" s="544"/>
      <c r="C48" s="165"/>
      <c r="D48" s="514"/>
      <c r="E48" s="533"/>
      <c r="F48" s="569"/>
    </row>
    <row r="49" spans="1:6" x14ac:dyDescent="0.2">
      <c r="A49" s="166"/>
      <c r="B49" s="543" t="s">
        <v>438</v>
      </c>
      <c r="C49" s="165"/>
      <c r="D49" s="513">
        <v>1372800</v>
      </c>
      <c r="E49" s="533"/>
      <c r="F49" s="569"/>
    </row>
    <row r="50" spans="1:6" x14ac:dyDescent="0.2">
      <c r="A50" s="166"/>
      <c r="B50" s="544"/>
      <c r="C50" s="165"/>
      <c r="D50" s="514"/>
      <c r="E50" s="533"/>
      <c r="F50" s="569"/>
    </row>
    <row r="51" spans="1:6" x14ac:dyDescent="0.2">
      <c r="A51" s="166"/>
      <c r="B51" s="543" t="s">
        <v>439</v>
      </c>
      <c r="C51" s="165"/>
      <c r="D51" s="513">
        <v>1372800</v>
      </c>
      <c r="E51" s="533"/>
      <c r="F51" s="569"/>
    </row>
    <row r="52" spans="1:6" x14ac:dyDescent="0.2">
      <c r="A52" s="166"/>
      <c r="B52" s="544"/>
      <c r="C52" s="165"/>
      <c r="D52" s="514"/>
      <c r="E52" s="533"/>
      <c r="F52" s="569"/>
    </row>
    <row r="53" spans="1:6" x14ac:dyDescent="0.2">
      <c r="A53" s="166"/>
      <c r="B53" s="543" t="s">
        <v>440</v>
      </c>
      <c r="C53" s="165"/>
      <c r="D53" s="513">
        <v>1636800</v>
      </c>
      <c r="E53" s="533"/>
      <c r="F53" s="569"/>
    </row>
    <row r="54" spans="1:6" x14ac:dyDescent="0.2">
      <c r="A54" s="166"/>
      <c r="B54" s="544"/>
      <c r="C54" s="165"/>
      <c r="D54" s="514"/>
      <c r="E54" s="533"/>
      <c r="F54" s="569"/>
    </row>
    <row r="55" spans="1:6" x14ac:dyDescent="0.2">
      <c r="A55" s="166"/>
      <c r="B55" s="543" t="s">
        <v>441</v>
      </c>
      <c r="C55" s="165"/>
      <c r="D55" s="513">
        <v>1636800</v>
      </c>
      <c r="E55" s="533"/>
      <c r="F55" s="569"/>
    </row>
    <row r="56" spans="1:6" x14ac:dyDescent="0.2">
      <c r="A56" s="166"/>
      <c r="B56" s="544"/>
      <c r="C56" s="165"/>
      <c r="D56" s="514"/>
      <c r="E56" s="533"/>
      <c r="F56" s="569"/>
    </row>
    <row r="57" spans="1:6" x14ac:dyDescent="0.2">
      <c r="A57" s="166"/>
      <c r="B57" s="543" t="s">
        <v>442</v>
      </c>
      <c r="C57" s="165"/>
      <c r="D57" s="513">
        <v>1584000</v>
      </c>
      <c r="E57" s="533"/>
      <c r="F57" s="569"/>
    </row>
    <row r="58" spans="1:6" x14ac:dyDescent="0.2">
      <c r="A58" s="166"/>
      <c r="B58" s="544"/>
      <c r="C58" s="165"/>
      <c r="D58" s="514"/>
      <c r="E58" s="514"/>
      <c r="F58" s="516"/>
    </row>
    <row r="59" spans="1:6" x14ac:dyDescent="0.2">
      <c r="A59" s="166"/>
      <c r="B59" s="557" t="s">
        <v>487</v>
      </c>
      <c r="C59" s="165"/>
      <c r="D59" s="513">
        <v>64950</v>
      </c>
      <c r="E59" s="513">
        <f>+D59+D61+D63+D65+D67+D69+D71</f>
        <v>406000</v>
      </c>
      <c r="F59" s="561"/>
    </row>
    <row r="60" spans="1:6" x14ac:dyDescent="0.2">
      <c r="A60" s="166"/>
      <c r="B60" s="558"/>
      <c r="C60" s="165"/>
      <c r="D60" s="514"/>
      <c r="E60" s="533"/>
      <c r="F60" s="562"/>
    </row>
    <row r="61" spans="1:6" x14ac:dyDescent="0.2">
      <c r="A61" s="166"/>
      <c r="B61" s="557" t="s">
        <v>488</v>
      </c>
      <c r="C61" s="165"/>
      <c r="D61" s="513">
        <v>64950</v>
      </c>
      <c r="E61" s="533"/>
      <c r="F61" s="562"/>
    </row>
    <row r="62" spans="1:6" x14ac:dyDescent="0.2">
      <c r="A62" s="166"/>
      <c r="B62" s="558"/>
      <c r="C62" s="165"/>
      <c r="D62" s="514"/>
      <c r="E62" s="533"/>
      <c r="F62" s="562"/>
    </row>
    <row r="63" spans="1:6" x14ac:dyDescent="0.2">
      <c r="A63" s="166"/>
      <c r="B63" s="557" t="s">
        <v>489</v>
      </c>
      <c r="C63" s="165"/>
      <c r="D63" s="513">
        <v>79150</v>
      </c>
      <c r="E63" s="533"/>
      <c r="F63" s="562"/>
    </row>
    <row r="64" spans="1:6" x14ac:dyDescent="0.2">
      <c r="A64" s="166"/>
      <c r="B64" s="558"/>
      <c r="C64" s="165"/>
      <c r="D64" s="514"/>
      <c r="E64" s="533"/>
      <c r="F64" s="562"/>
    </row>
    <row r="65" spans="1:6" x14ac:dyDescent="0.2">
      <c r="A65" s="166"/>
      <c r="B65" s="557" t="s">
        <v>490</v>
      </c>
      <c r="C65" s="165"/>
      <c r="D65" s="513">
        <v>52800</v>
      </c>
      <c r="E65" s="533"/>
      <c r="F65" s="562"/>
    </row>
    <row r="66" spans="1:6" x14ac:dyDescent="0.2">
      <c r="A66" s="166"/>
      <c r="B66" s="558"/>
      <c r="C66" s="165"/>
      <c r="D66" s="514"/>
      <c r="E66" s="533"/>
      <c r="F66" s="562"/>
    </row>
    <row r="67" spans="1:6" x14ac:dyDescent="0.2">
      <c r="A67" s="166"/>
      <c r="B67" s="557" t="s">
        <v>491</v>
      </c>
      <c r="C67" s="165"/>
      <c r="D67" s="513">
        <v>62950</v>
      </c>
      <c r="E67" s="533"/>
      <c r="F67" s="562"/>
    </row>
    <row r="68" spans="1:6" x14ac:dyDescent="0.2">
      <c r="A68" s="166"/>
      <c r="B68" s="558"/>
      <c r="C68" s="165"/>
      <c r="D68" s="514"/>
      <c r="E68" s="533"/>
      <c r="F68" s="562"/>
    </row>
    <row r="69" spans="1:6" x14ac:dyDescent="0.2">
      <c r="A69" s="166"/>
      <c r="B69" s="557" t="s">
        <v>492</v>
      </c>
      <c r="C69" s="165"/>
      <c r="D69" s="513">
        <v>60900</v>
      </c>
      <c r="E69" s="533"/>
      <c r="F69" s="562"/>
    </row>
    <row r="70" spans="1:6" x14ac:dyDescent="0.2">
      <c r="A70" s="166"/>
      <c r="B70" s="558"/>
      <c r="C70" s="165"/>
      <c r="D70" s="514"/>
      <c r="E70" s="533"/>
      <c r="F70" s="562"/>
    </row>
    <row r="71" spans="1:6" x14ac:dyDescent="0.2">
      <c r="A71" s="166"/>
      <c r="B71" s="557" t="s">
        <v>493</v>
      </c>
      <c r="C71" s="165"/>
      <c r="D71" s="513">
        <v>20300</v>
      </c>
      <c r="E71" s="533"/>
      <c r="F71" s="562"/>
    </row>
    <row r="72" spans="1:6" x14ac:dyDescent="0.2">
      <c r="A72" s="166"/>
      <c r="B72" s="558"/>
      <c r="C72" s="165"/>
      <c r="D72" s="514"/>
      <c r="E72" s="514"/>
      <c r="F72" s="563"/>
    </row>
    <row r="73" spans="1:6" x14ac:dyDescent="0.2">
      <c r="A73" s="166"/>
      <c r="B73" s="559" t="s">
        <v>497</v>
      </c>
      <c r="C73" s="165"/>
      <c r="D73" s="513">
        <v>157300</v>
      </c>
      <c r="E73" s="513">
        <f>+D73+D75</f>
        <v>314600</v>
      </c>
      <c r="F73" s="561"/>
    </row>
    <row r="74" spans="1:6" x14ac:dyDescent="0.2">
      <c r="A74" s="166"/>
      <c r="B74" s="560"/>
      <c r="C74" s="165"/>
      <c r="D74" s="514"/>
      <c r="E74" s="533"/>
      <c r="F74" s="562"/>
    </row>
    <row r="75" spans="1:6" x14ac:dyDescent="0.2">
      <c r="A75" s="166"/>
      <c r="B75" s="559" t="s">
        <v>498</v>
      </c>
      <c r="C75" s="165"/>
      <c r="D75" s="513">
        <v>157300</v>
      </c>
      <c r="E75" s="533"/>
      <c r="F75" s="562"/>
    </row>
    <row r="76" spans="1:6" x14ac:dyDescent="0.2">
      <c r="A76" s="166"/>
      <c r="B76" s="560"/>
      <c r="C76" s="165"/>
      <c r="D76" s="514"/>
      <c r="E76" s="514"/>
      <c r="F76" s="563"/>
    </row>
    <row r="77" spans="1:6" x14ac:dyDescent="0.2">
      <c r="A77" s="166"/>
      <c r="B77" s="545" t="s">
        <v>443</v>
      </c>
      <c r="C77" s="165"/>
      <c r="D77" s="513">
        <v>51200</v>
      </c>
      <c r="E77" s="513">
        <f>+D77+D79+D81+D83+D85+D87+D89+D91+D93+D95+D97+D99+D101+D103</f>
        <v>640000</v>
      </c>
      <c r="F77" s="561"/>
    </row>
    <row r="78" spans="1:6" x14ac:dyDescent="0.2">
      <c r="A78" s="166"/>
      <c r="B78" s="546"/>
      <c r="C78" s="165"/>
      <c r="D78" s="514"/>
      <c r="E78" s="533"/>
      <c r="F78" s="562"/>
    </row>
    <row r="79" spans="1:6" x14ac:dyDescent="0.2">
      <c r="A79" s="166"/>
      <c r="B79" s="545" t="s">
        <v>444</v>
      </c>
      <c r="C79" s="165"/>
      <c r="D79" s="513">
        <v>51200</v>
      </c>
      <c r="E79" s="533"/>
      <c r="F79" s="562"/>
    </row>
    <row r="80" spans="1:6" x14ac:dyDescent="0.2">
      <c r="A80" s="166"/>
      <c r="B80" s="546"/>
      <c r="C80" s="165"/>
      <c r="D80" s="514"/>
      <c r="E80" s="533"/>
      <c r="F80" s="562"/>
    </row>
    <row r="81" spans="1:6" x14ac:dyDescent="0.2">
      <c r="A81" s="166"/>
      <c r="B81" s="545" t="s">
        <v>445</v>
      </c>
      <c r="C81" s="165"/>
      <c r="D81" s="513">
        <v>51200</v>
      </c>
      <c r="E81" s="533"/>
      <c r="F81" s="562"/>
    </row>
    <row r="82" spans="1:6" x14ac:dyDescent="0.2">
      <c r="A82" s="166"/>
      <c r="B82" s="546"/>
      <c r="C82" s="165"/>
      <c r="D82" s="514"/>
      <c r="E82" s="533"/>
      <c r="F82" s="562"/>
    </row>
    <row r="83" spans="1:6" x14ac:dyDescent="0.2">
      <c r="A83" s="166"/>
      <c r="B83" s="545" t="s">
        <v>446</v>
      </c>
      <c r="C83" s="165"/>
      <c r="D83" s="513">
        <v>51200</v>
      </c>
      <c r="E83" s="533"/>
      <c r="F83" s="562"/>
    </row>
    <row r="84" spans="1:6" x14ac:dyDescent="0.2">
      <c r="A84" s="166"/>
      <c r="B84" s="546"/>
      <c r="C84" s="165"/>
      <c r="D84" s="514"/>
      <c r="E84" s="533"/>
      <c r="F84" s="562"/>
    </row>
    <row r="85" spans="1:6" x14ac:dyDescent="0.2">
      <c r="A85" s="166"/>
      <c r="B85" s="545" t="s">
        <v>447</v>
      </c>
      <c r="C85" s="165"/>
      <c r="D85" s="513">
        <v>41600</v>
      </c>
      <c r="E85" s="533"/>
      <c r="F85" s="562"/>
    </row>
    <row r="86" spans="1:6" x14ac:dyDescent="0.2">
      <c r="A86" s="166"/>
      <c r="B86" s="546"/>
      <c r="C86" s="165"/>
      <c r="D86" s="514"/>
      <c r="E86" s="533"/>
      <c r="F86" s="562"/>
    </row>
    <row r="87" spans="1:6" x14ac:dyDescent="0.2">
      <c r="A87" s="166"/>
      <c r="B87" s="545" t="s">
        <v>448</v>
      </c>
      <c r="C87" s="165"/>
      <c r="D87" s="513">
        <v>41600</v>
      </c>
      <c r="E87" s="533"/>
      <c r="F87" s="562"/>
    </row>
    <row r="88" spans="1:6" x14ac:dyDescent="0.2">
      <c r="A88" s="166"/>
      <c r="B88" s="546"/>
      <c r="C88" s="165"/>
      <c r="D88" s="514"/>
      <c r="E88" s="533"/>
      <c r="F88" s="562"/>
    </row>
    <row r="89" spans="1:6" x14ac:dyDescent="0.2">
      <c r="A89" s="166"/>
      <c r="B89" s="545" t="s">
        <v>449</v>
      </c>
      <c r="C89" s="165"/>
      <c r="D89" s="513">
        <v>41600</v>
      </c>
      <c r="E89" s="533"/>
      <c r="F89" s="562"/>
    </row>
    <row r="90" spans="1:6" x14ac:dyDescent="0.2">
      <c r="A90" s="166"/>
      <c r="B90" s="546"/>
      <c r="C90" s="165"/>
      <c r="D90" s="514"/>
      <c r="E90" s="533"/>
      <c r="F90" s="562"/>
    </row>
    <row r="91" spans="1:6" x14ac:dyDescent="0.2">
      <c r="A91" s="166"/>
      <c r="B91" s="545" t="s">
        <v>450</v>
      </c>
      <c r="C91" s="165"/>
      <c r="D91" s="513">
        <v>41600</v>
      </c>
      <c r="E91" s="533"/>
      <c r="F91" s="562"/>
    </row>
    <row r="92" spans="1:6" x14ac:dyDescent="0.2">
      <c r="A92" s="166"/>
      <c r="B92" s="546"/>
      <c r="C92" s="165"/>
      <c r="D92" s="514"/>
      <c r="E92" s="533"/>
      <c r="F92" s="562"/>
    </row>
    <row r="93" spans="1:6" x14ac:dyDescent="0.2">
      <c r="A93" s="166"/>
      <c r="B93" s="545" t="s">
        <v>451</v>
      </c>
      <c r="C93" s="165"/>
      <c r="D93" s="513">
        <v>41600</v>
      </c>
      <c r="E93" s="533"/>
      <c r="F93" s="562"/>
    </row>
    <row r="94" spans="1:6" x14ac:dyDescent="0.2">
      <c r="A94" s="166"/>
      <c r="B94" s="546"/>
      <c r="C94" s="165"/>
      <c r="D94" s="514"/>
      <c r="E94" s="533"/>
      <c r="F94" s="562"/>
    </row>
    <row r="95" spans="1:6" x14ac:dyDescent="0.2">
      <c r="A95" s="166"/>
      <c r="B95" s="545" t="s">
        <v>452</v>
      </c>
      <c r="C95" s="165"/>
      <c r="D95" s="513">
        <v>49600</v>
      </c>
      <c r="E95" s="533"/>
      <c r="F95" s="562"/>
    </row>
    <row r="96" spans="1:6" x14ac:dyDescent="0.2">
      <c r="A96" s="166"/>
      <c r="B96" s="546"/>
      <c r="C96" s="165"/>
      <c r="D96" s="514"/>
      <c r="E96" s="533"/>
      <c r="F96" s="562"/>
    </row>
    <row r="97" spans="1:6" x14ac:dyDescent="0.2">
      <c r="A97" s="166"/>
      <c r="B97" s="545" t="s">
        <v>453</v>
      </c>
      <c r="C97" s="165"/>
      <c r="D97" s="513">
        <v>49600</v>
      </c>
      <c r="E97" s="533"/>
      <c r="F97" s="562"/>
    </row>
    <row r="98" spans="1:6" x14ac:dyDescent="0.2">
      <c r="A98" s="166"/>
      <c r="B98" s="546"/>
      <c r="C98" s="165"/>
      <c r="D98" s="514"/>
      <c r="E98" s="533"/>
      <c r="F98" s="562"/>
    </row>
    <row r="99" spans="1:6" x14ac:dyDescent="0.2">
      <c r="A99" s="166"/>
      <c r="B99" s="545" t="s">
        <v>454</v>
      </c>
      <c r="C99" s="165"/>
      <c r="D99" s="513">
        <v>48000</v>
      </c>
      <c r="E99" s="533"/>
      <c r="F99" s="562"/>
    </row>
    <row r="100" spans="1:6" x14ac:dyDescent="0.2">
      <c r="A100" s="166"/>
      <c r="B100" s="546"/>
      <c r="C100" s="165"/>
      <c r="D100" s="514"/>
      <c r="E100" s="533"/>
      <c r="F100" s="562"/>
    </row>
    <row r="101" spans="1:6" x14ac:dyDescent="0.2">
      <c r="A101" s="166"/>
      <c r="B101" s="545" t="s">
        <v>455</v>
      </c>
      <c r="C101" s="165"/>
      <c r="D101" s="513">
        <v>48000</v>
      </c>
      <c r="E101" s="533"/>
      <c r="F101" s="562"/>
    </row>
    <row r="102" spans="1:6" x14ac:dyDescent="0.2">
      <c r="A102" s="166"/>
      <c r="B102" s="546"/>
      <c r="C102" s="165"/>
      <c r="D102" s="514"/>
      <c r="E102" s="533"/>
      <c r="F102" s="562"/>
    </row>
    <row r="103" spans="1:6" x14ac:dyDescent="0.2">
      <c r="A103" s="166"/>
      <c r="B103" s="545" t="s">
        <v>456</v>
      </c>
      <c r="C103" s="165"/>
      <c r="D103" s="513">
        <v>32000</v>
      </c>
      <c r="E103" s="533"/>
      <c r="F103" s="562"/>
    </row>
    <row r="104" spans="1:6" x14ac:dyDescent="0.2">
      <c r="A104" s="166"/>
      <c r="B104" s="546"/>
      <c r="C104" s="165"/>
      <c r="D104" s="514"/>
      <c r="E104" s="514"/>
      <c r="F104" s="563"/>
    </row>
    <row r="105" spans="1:6" x14ac:dyDescent="0.2">
      <c r="A105" s="166"/>
      <c r="B105" s="547" t="s">
        <v>457</v>
      </c>
      <c r="C105" s="165"/>
      <c r="D105" s="513">
        <v>56800</v>
      </c>
      <c r="E105" s="513">
        <f>+D105+D107+D109+D111+D113+D115+D117+D119+D121+D123+D125+D127+D129+D131</f>
        <v>710000</v>
      </c>
      <c r="F105" s="561"/>
    </row>
    <row r="106" spans="1:6" x14ac:dyDescent="0.2">
      <c r="A106" s="166"/>
      <c r="B106" s="548"/>
      <c r="C106" s="165"/>
      <c r="D106" s="514"/>
      <c r="E106" s="533"/>
      <c r="F106" s="562"/>
    </row>
    <row r="107" spans="1:6" x14ac:dyDescent="0.2">
      <c r="A107" s="166"/>
      <c r="B107" s="547" t="s">
        <v>458</v>
      </c>
      <c r="C107" s="165"/>
      <c r="D107" s="513">
        <v>56800</v>
      </c>
      <c r="E107" s="533"/>
      <c r="F107" s="562"/>
    </row>
    <row r="108" spans="1:6" x14ac:dyDescent="0.2">
      <c r="A108" s="166"/>
      <c r="B108" s="548"/>
      <c r="C108" s="165"/>
      <c r="D108" s="514"/>
      <c r="E108" s="533"/>
      <c r="F108" s="562"/>
    </row>
    <row r="109" spans="1:6" x14ac:dyDescent="0.2">
      <c r="A109" s="166"/>
      <c r="B109" s="547" t="s">
        <v>459</v>
      </c>
      <c r="C109" s="165"/>
      <c r="D109" s="513">
        <v>56800</v>
      </c>
      <c r="E109" s="533"/>
      <c r="F109" s="562"/>
    </row>
    <row r="110" spans="1:6" x14ac:dyDescent="0.2">
      <c r="A110" s="166"/>
      <c r="B110" s="548"/>
      <c r="C110" s="165"/>
      <c r="D110" s="514"/>
      <c r="E110" s="533"/>
      <c r="F110" s="562"/>
    </row>
    <row r="111" spans="1:6" x14ac:dyDescent="0.2">
      <c r="A111" s="166"/>
      <c r="B111" s="547" t="s">
        <v>460</v>
      </c>
      <c r="C111" s="165"/>
      <c r="D111" s="513">
        <v>56800</v>
      </c>
      <c r="E111" s="533"/>
      <c r="F111" s="562"/>
    </row>
    <row r="112" spans="1:6" x14ac:dyDescent="0.2">
      <c r="A112" s="166"/>
      <c r="B112" s="548"/>
      <c r="C112" s="165"/>
      <c r="D112" s="514"/>
      <c r="E112" s="533"/>
      <c r="F112" s="562"/>
    </row>
    <row r="113" spans="1:6" x14ac:dyDescent="0.2">
      <c r="A113" s="166"/>
      <c r="B113" s="547" t="s">
        <v>461</v>
      </c>
      <c r="C113" s="165"/>
      <c r="D113" s="513">
        <v>46150</v>
      </c>
      <c r="E113" s="533"/>
      <c r="F113" s="562"/>
    </row>
    <row r="114" spans="1:6" x14ac:dyDescent="0.2">
      <c r="A114" s="166"/>
      <c r="B114" s="548"/>
      <c r="C114" s="165"/>
      <c r="D114" s="514"/>
      <c r="E114" s="533"/>
      <c r="F114" s="562"/>
    </row>
    <row r="115" spans="1:6" x14ac:dyDescent="0.2">
      <c r="A115" s="166"/>
      <c r="B115" s="547" t="s">
        <v>462</v>
      </c>
      <c r="C115" s="165"/>
      <c r="D115" s="513">
        <v>46150</v>
      </c>
      <c r="E115" s="533"/>
      <c r="F115" s="562"/>
    </row>
    <row r="116" spans="1:6" x14ac:dyDescent="0.2">
      <c r="A116" s="166"/>
      <c r="B116" s="548"/>
      <c r="C116" s="165"/>
      <c r="D116" s="514"/>
      <c r="E116" s="533"/>
      <c r="F116" s="562"/>
    </row>
    <row r="117" spans="1:6" x14ac:dyDescent="0.2">
      <c r="A117" s="166"/>
      <c r="B117" s="547" t="s">
        <v>463</v>
      </c>
      <c r="C117" s="165"/>
      <c r="D117" s="513">
        <v>46150</v>
      </c>
      <c r="E117" s="533"/>
      <c r="F117" s="562"/>
    </row>
    <row r="118" spans="1:6" x14ac:dyDescent="0.2">
      <c r="A118" s="166"/>
      <c r="B118" s="548"/>
      <c r="C118" s="165"/>
      <c r="D118" s="514"/>
      <c r="E118" s="533"/>
      <c r="F118" s="562"/>
    </row>
    <row r="119" spans="1:6" x14ac:dyDescent="0.2">
      <c r="A119" s="166"/>
      <c r="B119" s="547" t="s">
        <v>464</v>
      </c>
      <c r="C119" s="165"/>
      <c r="D119" s="513">
        <v>46150</v>
      </c>
      <c r="E119" s="533"/>
      <c r="F119" s="562"/>
    </row>
    <row r="120" spans="1:6" x14ac:dyDescent="0.2">
      <c r="A120" s="166"/>
      <c r="B120" s="548"/>
      <c r="C120" s="165"/>
      <c r="D120" s="514"/>
      <c r="E120" s="533"/>
      <c r="F120" s="562"/>
    </row>
    <row r="121" spans="1:6" x14ac:dyDescent="0.2">
      <c r="A121" s="166"/>
      <c r="B121" s="547" t="s">
        <v>465</v>
      </c>
      <c r="C121" s="165"/>
      <c r="D121" s="513">
        <v>46150</v>
      </c>
      <c r="E121" s="533"/>
      <c r="F121" s="562"/>
    </row>
    <row r="122" spans="1:6" x14ac:dyDescent="0.2">
      <c r="A122" s="166"/>
      <c r="B122" s="548"/>
      <c r="C122" s="165"/>
      <c r="D122" s="514"/>
      <c r="E122" s="533"/>
      <c r="F122" s="562"/>
    </row>
    <row r="123" spans="1:6" x14ac:dyDescent="0.2">
      <c r="A123" s="166"/>
      <c r="B123" s="547" t="s">
        <v>466</v>
      </c>
      <c r="C123" s="165"/>
      <c r="D123" s="513">
        <v>55025</v>
      </c>
      <c r="E123" s="533"/>
      <c r="F123" s="562"/>
    </row>
    <row r="124" spans="1:6" x14ac:dyDescent="0.2">
      <c r="A124" s="166"/>
      <c r="B124" s="548"/>
      <c r="C124" s="165"/>
      <c r="D124" s="514"/>
      <c r="E124" s="533"/>
      <c r="F124" s="562"/>
    </row>
    <row r="125" spans="1:6" x14ac:dyDescent="0.2">
      <c r="A125" s="166"/>
      <c r="B125" s="547" t="s">
        <v>467</v>
      </c>
      <c r="C125" s="165"/>
      <c r="D125" s="513">
        <v>55025</v>
      </c>
      <c r="E125" s="533"/>
      <c r="F125" s="562"/>
    </row>
    <row r="126" spans="1:6" x14ac:dyDescent="0.2">
      <c r="A126" s="166"/>
      <c r="B126" s="548"/>
      <c r="C126" s="165"/>
      <c r="D126" s="514"/>
      <c r="E126" s="533"/>
      <c r="F126" s="562"/>
    </row>
    <row r="127" spans="1:6" x14ac:dyDescent="0.2">
      <c r="A127" s="166"/>
      <c r="B127" s="547" t="s">
        <v>468</v>
      </c>
      <c r="C127" s="165"/>
      <c r="D127" s="513">
        <v>53250</v>
      </c>
      <c r="E127" s="533"/>
      <c r="F127" s="562"/>
    </row>
    <row r="128" spans="1:6" x14ac:dyDescent="0.2">
      <c r="A128" s="166"/>
      <c r="B128" s="548"/>
      <c r="C128" s="165"/>
      <c r="D128" s="514"/>
      <c r="E128" s="533"/>
      <c r="F128" s="562"/>
    </row>
    <row r="129" spans="1:6" x14ac:dyDescent="0.2">
      <c r="A129" s="166"/>
      <c r="B129" s="547" t="s">
        <v>469</v>
      </c>
      <c r="C129" s="165"/>
      <c r="D129" s="513">
        <v>53250</v>
      </c>
      <c r="E129" s="533"/>
      <c r="F129" s="562"/>
    </row>
    <row r="130" spans="1:6" x14ac:dyDescent="0.2">
      <c r="A130" s="166"/>
      <c r="B130" s="548"/>
      <c r="C130" s="165"/>
      <c r="D130" s="514"/>
      <c r="E130" s="533"/>
      <c r="F130" s="562"/>
    </row>
    <row r="131" spans="1:6" x14ac:dyDescent="0.2">
      <c r="A131" s="166"/>
      <c r="B131" s="547" t="s">
        <v>470</v>
      </c>
      <c r="C131" s="165"/>
      <c r="D131" s="513">
        <v>35500</v>
      </c>
      <c r="E131" s="533"/>
      <c r="F131" s="562"/>
    </row>
    <row r="132" spans="1:6" x14ac:dyDescent="0.2">
      <c r="A132" s="166"/>
      <c r="B132" s="548"/>
      <c r="C132" s="165"/>
      <c r="D132" s="514"/>
      <c r="E132" s="514"/>
      <c r="F132" s="563"/>
    </row>
    <row r="133" spans="1:6" x14ac:dyDescent="0.2">
      <c r="A133" s="166"/>
      <c r="B133" s="549" t="s">
        <v>471</v>
      </c>
      <c r="C133" s="165"/>
      <c r="D133" s="513">
        <v>736875</v>
      </c>
      <c r="E133" s="513">
        <f>+D133+D135+D137+D139</f>
        <v>2947500</v>
      </c>
      <c r="F133" s="561"/>
    </row>
    <row r="134" spans="1:6" x14ac:dyDescent="0.2">
      <c r="A134" s="166"/>
      <c r="B134" s="550"/>
      <c r="C134" s="165"/>
      <c r="D134" s="514"/>
      <c r="E134" s="533"/>
      <c r="F134" s="562"/>
    </row>
    <row r="135" spans="1:6" x14ac:dyDescent="0.2">
      <c r="A135" s="166"/>
      <c r="B135" s="549" t="s">
        <v>472</v>
      </c>
      <c r="C135" s="165"/>
      <c r="D135" s="513">
        <v>736875</v>
      </c>
      <c r="E135" s="533"/>
      <c r="F135" s="562"/>
    </row>
    <row r="136" spans="1:6" x14ac:dyDescent="0.2">
      <c r="A136" s="166"/>
      <c r="B136" s="550"/>
      <c r="C136" s="165"/>
      <c r="D136" s="514"/>
      <c r="E136" s="533"/>
      <c r="F136" s="562"/>
    </row>
    <row r="137" spans="1:6" x14ac:dyDescent="0.2">
      <c r="A137" s="166"/>
      <c r="B137" s="549" t="s">
        <v>473</v>
      </c>
      <c r="C137" s="165"/>
      <c r="D137" s="513">
        <v>736875</v>
      </c>
      <c r="E137" s="533"/>
      <c r="F137" s="562"/>
    </row>
    <row r="138" spans="1:6" x14ac:dyDescent="0.2">
      <c r="A138" s="166"/>
      <c r="B138" s="550"/>
      <c r="C138" s="165"/>
      <c r="D138" s="514"/>
      <c r="E138" s="533"/>
      <c r="F138" s="562"/>
    </row>
    <row r="139" spans="1:6" x14ac:dyDescent="0.2">
      <c r="A139" s="166"/>
      <c r="B139" s="549" t="s">
        <v>474</v>
      </c>
      <c r="C139" s="165"/>
      <c r="D139" s="513">
        <v>736875</v>
      </c>
      <c r="E139" s="533"/>
      <c r="F139" s="562"/>
    </row>
    <row r="140" spans="1:6" x14ac:dyDescent="0.2">
      <c r="A140" s="166"/>
      <c r="B140" s="550"/>
      <c r="C140" s="165"/>
      <c r="D140" s="514"/>
      <c r="E140" s="514"/>
      <c r="F140" s="563"/>
    </row>
    <row r="141" spans="1:6" x14ac:dyDescent="0.2">
      <c r="A141" s="166"/>
      <c r="B141" s="551" t="s">
        <v>475</v>
      </c>
      <c r="C141" s="165"/>
      <c r="D141" s="513">
        <v>742400</v>
      </c>
      <c r="E141" s="513">
        <f>+D141+D143+D145+D147+D149+D151+D153</f>
        <v>4640000</v>
      </c>
      <c r="F141" s="561"/>
    </row>
    <row r="142" spans="1:6" x14ac:dyDescent="0.2">
      <c r="A142" s="166"/>
      <c r="B142" s="552"/>
      <c r="C142" s="165"/>
      <c r="D142" s="514"/>
      <c r="E142" s="533"/>
      <c r="F142" s="562"/>
    </row>
    <row r="143" spans="1:6" x14ac:dyDescent="0.2">
      <c r="A143" s="166"/>
      <c r="B143" s="551" t="s">
        <v>476</v>
      </c>
      <c r="C143" s="165"/>
      <c r="D143" s="513">
        <v>742400</v>
      </c>
      <c r="E143" s="533"/>
      <c r="F143" s="562"/>
    </row>
    <row r="144" spans="1:6" x14ac:dyDescent="0.2">
      <c r="A144" s="166"/>
      <c r="B144" s="552"/>
      <c r="C144" s="165"/>
      <c r="D144" s="514"/>
      <c r="E144" s="533"/>
      <c r="F144" s="562"/>
    </row>
    <row r="145" spans="1:6" x14ac:dyDescent="0.2">
      <c r="A145" s="166"/>
      <c r="B145" s="551" t="s">
        <v>477</v>
      </c>
      <c r="C145" s="165"/>
      <c r="D145" s="513">
        <v>904800</v>
      </c>
      <c r="E145" s="533"/>
      <c r="F145" s="562"/>
    </row>
    <row r="146" spans="1:6" x14ac:dyDescent="0.2">
      <c r="A146" s="166"/>
      <c r="B146" s="552"/>
      <c r="C146" s="165"/>
      <c r="D146" s="514"/>
      <c r="E146" s="533"/>
      <c r="F146" s="562"/>
    </row>
    <row r="147" spans="1:6" x14ac:dyDescent="0.2">
      <c r="A147" s="166"/>
      <c r="B147" s="551" t="s">
        <v>478</v>
      </c>
      <c r="C147" s="165"/>
      <c r="D147" s="513">
        <v>603200</v>
      </c>
      <c r="E147" s="533"/>
      <c r="F147" s="562"/>
    </row>
    <row r="148" spans="1:6" x14ac:dyDescent="0.2">
      <c r="A148" s="166"/>
      <c r="B148" s="552"/>
      <c r="C148" s="165"/>
      <c r="D148" s="514"/>
      <c r="E148" s="533"/>
      <c r="F148" s="562"/>
    </row>
    <row r="149" spans="1:6" x14ac:dyDescent="0.2">
      <c r="A149" s="166"/>
      <c r="B149" s="551" t="s">
        <v>479</v>
      </c>
      <c r="C149" s="165"/>
      <c r="D149" s="513">
        <v>719200</v>
      </c>
      <c r="E149" s="533"/>
      <c r="F149" s="562"/>
    </row>
    <row r="150" spans="1:6" x14ac:dyDescent="0.2">
      <c r="A150" s="166"/>
      <c r="B150" s="552"/>
      <c r="C150" s="165"/>
      <c r="D150" s="514"/>
      <c r="E150" s="533"/>
      <c r="F150" s="562"/>
    </row>
    <row r="151" spans="1:6" x14ac:dyDescent="0.2">
      <c r="A151" s="166"/>
      <c r="B151" s="551" t="s">
        <v>480</v>
      </c>
      <c r="C151" s="165"/>
      <c r="D151" s="513">
        <v>696000</v>
      </c>
      <c r="E151" s="533"/>
      <c r="F151" s="562"/>
    </row>
    <row r="152" spans="1:6" x14ac:dyDescent="0.2">
      <c r="A152" s="166"/>
      <c r="B152" s="552"/>
      <c r="C152" s="165"/>
      <c r="D152" s="514"/>
      <c r="E152" s="533"/>
      <c r="F152" s="562"/>
    </row>
    <row r="153" spans="1:6" x14ac:dyDescent="0.2">
      <c r="A153" s="166"/>
      <c r="B153" s="551" t="s">
        <v>481</v>
      </c>
      <c r="C153" s="165"/>
      <c r="D153" s="513">
        <v>232000</v>
      </c>
      <c r="E153" s="533"/>
      <c r="F153" s="562"/>
    </row>
    <row r="154" spans="1:6" x14ac:dyDescent="0.2">
      <c r="A154" s="166"/>
      <c r="B154" s="552"/>
      <c r="C154" s="165"/>
      <c r="D154" s="514"/>
      <c r="E154" s="514"/>
      <c r="F154" s="563"/>
    </row>
    <row r="155" spans="1:6" x14ac:dyDescent="0.2">
      <c r="A155" s="166"/>
      <c r="B155" s="511" t="s">
        <v>499</v>
      </c>
      <c r="C155" s="165"/>
      <c r="D155" s="513">
        <v>220000</v>
      </c>
      <c r="E155" s="513">
        <f>+D155</f>
        <v>220000</v>
      </c>
      <c r="F155" s="561"/>
    </row>
    <row r="156" spans="1:6" x14ac:dyDescent="0.2">
      <c r="A156" s="166"/>
      <c r="B156" s="512"/>
      <c r="C156" s="165"/>
      <c r="D156" s="514"/>
      <c r="E156" s="514"/>
      <c r="F156" s="563"/>
    </row>
    <row r="157" spans="1:6" x14ac:dyDescent="0.2">
      <c r="A157" s="166"/>
      <c r="B157" s="511" t="s">
        <v>482</v>
      </c>
      <c r="C157" s="165"/>
      <c r="D157" s="513">
        <v>116600</v>
      </c>
      <c r="E157" s="513">
        <f>+D157</f>
        <v>116600</v>
      </c>
      <c r="F157" s="561"/>
    </row>
    <row r="158" spans="1:6" x14ac:dyDescent="0.2">
      <c r="A158" s="166"/>
      <c r="B158" s="512"/>
      <c r="C158" s="165"/>
      <c r="D158" s="514"/>
      <c r="E158" s="514"/>
      <c r="F158" s="563"/>
    </row>
    <row r="159" spans="1:6" x14ac:dyDescent="0.2">
      <c r="A159" s="166"/>
      <c r="B159" s="553" t="s">
        <v>500</v>
      </c>
      <c r="C159" s="165"/>
      <c r="D159" s="513">
        <v>9500</v>
      </c>
      <c r="E159" s="520">
        <f>+D159</f>
        <v>9500</v>
      </c>
      <c r="F159" s="515"/>
    </row>
    <row r="160" spans="1:6" x14ac:dyDescent="0.2">
      <c r="A160" s="166"/>
      <c r="B160" s="554"/>
      <c r="C160" s="165"/>
      <c r="D160" s="514"/>
      <c r="E160" s="521"/>
      <c r="F160" s="516"/>
    </row>
    <row r="161" spans="1:7" x14ac:dyDescent="0.2">
      <c r="A161" s="166"/>
      <c r="B161" s="511" t="s">
        <v>483</v>
      </c>
      <c r="C161" s="165"/>
      <c r="D161" s="513">
        <v>70000</v>
      </c>
      <c r="E161" s="513">
        <f>+D161</f>
        <v>70000</v>
      </c>
      <c r="F161" s="561"/>
    </row>
    <row r="162" spans="1:7" x14ac:dyDescent="0.2">
      <c r="A162" s="166"/>
      <c r="B162" s="512"/>
      <c r="C162" s="165"/>
      <c r="D162" s="514"/>
      <c r="E162" s="514"/>
      <c r="F162" s="563"/>
    </row>
    <row r="163" spans="1:7" x14ac:dyDescent="0.2">
      <c r="A163" s="166"/>
      <c r="B163" s="553" t="s">
        <v>484</v>
      </c>
      <c r="C163" s="165"/>
      <c r="D163" s="513">
        <v>28000</v>
      </c>
      <c r="E163" s="522">
        <f>+D163</f>
        <v>28000</v>
      </c>
      <c r="F163" s="517"/>
    </row>
    <row r="164" spans="1:7" x14ac:dyDescent="0.2">
      <c r="A164" s="166"/>
      <c r="B164" s="554"/>
      <c r="C164" s="165"/>
      <c r="D164" s="514"/>
      <c r="E164" s="523"/>
      <c r="F164" s="517"/>
    </row>
    <row r="165" spans="1:7" x14ac:dyDescent="0.2">
      <c r="A165" s="166"/>
      <c r="B165" s="555" t="s">
        <v>485</v>
      </c>
      <c r="C165" s="165"/>
      <c r="D165" s="513">
        <v>25000</v>
      </c>
      <c r="E165" s="524">
        <f>+D165+D167</f>
        <v>50001</v>
      </c>
      <c r="F165" s="564"/>
    </row>
    <row r="166" spans="1:7" x14ac:dyDescent="0.2">
      <c r="A166" s="166"/>
      <c r="B166" s="556"/>
      <c r="C166" s="165"/>
      <c r="D166" s="514"/>
      <c r="E166" s="525"/>
      <c r="F166" s="565"/>
    </row>
    <row r="167" spans="1:7" x14ac:dyDescent="0.2">
      <c r="A167" s="166"/>
      <c r="B167" s="555" t="s">
        <v>486</v>
      </c>
      <c r="C167" s="165"/>
      <c r="D167" s="513">
        <v>25001</v>
      </c>
      <c r="E167" s="525"/>
      <c r="F167" s="565"/>
    </row>
    <row r="168" spans="1:7" x14ac:dyDescent="0.2">
      <c r="A168" s="166"/>
      <c r="B168" s="556"/>
      <c r="C168" s="165"/>
      <c r="D168" s="514"/>
      <c r="E168" s="526"/>
      <c r="F168" s="566"/>
    </row>
    <row r="169" spans="1:7" x14ac:dyDescent="0.2">
      <c r="A169" s="166"/>
      <c r="B169" s="511" t="s">
        <v>494</v>
      </c>
      <c r="C169" s="165"/>
      <c r="D169" s="513">
        <v>100000</v>
      </c>
      <c r="E169" s="513">
        <f>+D169</f>
        <v>100000</v>
      </c>
      <c r="F169" s="561"/>
    </row>
    <row r="170" spans="1:7" x14ac:dyDescent="0.2">
      <c r="A170" s="166"/>
      <c r="B170" s="512"/>
      <c r="C170" s="165"/>
      <c r="D170" s="514"/>
      <c r="E170" s="514"/>
      <c r="F170" s="563"/>
    </row>
    <row r="171" spans="1:7" x14ac:dyDescent="0.2">
      <c r="A171" s="166"/>
      <c r="B171" s="553" t="s">
        <v>495</v>
      </c>
      <c r="C171" s="165"/>
      <c r="D171" s="513">
        <v>10000</v>
      </c>
      <c r="E171" s="518">
        <f>+D171</f>
        <v>10000</v>
      </c>
      <c r="F171" s="527"/>
    </row>
    <row r="172" spans="1:7" x14ac:dyDescent="0.2">
      <c r="A172" s="166"/>
      <c r="B172" s="554"/>
      <c r="C172" s="165"/>
      <c r="D172" s="514"/>
      <c r="E172" s="519"/>
      <c r="F172" s="528"/>
    </row>
    <row r="173" spans="1:7" x14ac:dyDescent="0.2">
      <c r="A173" s="166"/>
      <c r="B173" s="511" t="s">
        <v>496</v>
      </c>
      <c r="C173" s="165"/>
      <c r="D173" s="513">
        <v>157000</v>
      </c>
      <c r="E173" s="513">
        <f>+D173</f>
        <v>157000</v>
      </c>
      <c r="F173" s="561"/>
    </row>
    <row r="174" spans="1:7" x14ac:dyDescent="0.2">
      <c r="A174" s="166"/>
      <c r="B174" s="512"/>
      <c r="C174" s="165"/>
      <c r="D174" s="514"/>
      <c r="E174" s="514"/>
      <c r="F174" s="563"/>
    </row>
    <row r="175" spans="1:7" x14ac:dyDescent="0.2">
      <c r="A175" s="174"/>
      <c r="B175" s="531" t="s">
        <v>401</v>
      </c>
      <c r="C175" s="176"/>
      <c r="D175" s="176"/>
      <c r="E175" s="529">
        <f>+E5+E19+E31+E35+E59+E73+E77+E105+E133+E141+E155+E157+E159+E161+E163+E165+E169+E171+E173</f>
        <v>31140953</v>
      </c>
      <c r="F175" s="567"/>
      <c r="G175" s="178"/>
    </row>
    <row r="176" spans="1:7" x14ac:dyDescent="0.2">
      <c r="A176" s="175"/>
      <c r="B176" s="532"/>
      <c r="C176" s="177"/>
      <c r="D176" s="177"/>
      <c r="E176" s="530"/>
      <c r="F176" s="568"/>
    </row>
    <row r="177" spans="1:5" x14ac:dyDescent="0.2">
      <c r="A177" s="166"/>
      <c r="B177" s="165"/>
      <c r="C177" s="165"/>
      <c r="D177" s="163"/>
      <c r="E177" s="163"/>
    </row>
    <row r="178" spans="1:5" x14ac:dyDescent="0.2">
      <c r="A178" s="166"/>
      <c r="B178" s="165"/>
      <c r="C178" s="173"/>
      <c r="D178" s="163"/>
      <c r="E178" s="163"/>
    </row>
    <row r="179" spans="1:5" x14ac:dyDescent="0.2">
      <c r="A179" s="166"/>
      <c r="B179" s="165"/>
      <c r="C179" s="165"/>
      <c r="D179" s="163"/>
      <c r="E179" s="163"/>
    </row>
    <row r="180" spans="1:5" x14ac:dyDescent="0.2">
      <c r="A180" s="166"/>
      <c r="B180" s="165"/>
      <c r="C180" s="165"/>
      <c r="D180" s="163"/>
      <c r="E180" s="163"/>
    </row>
    <row r="181" spans="1:5" x14ac:dyDescent="0.2">
      <c r="A181" s="166"/>
      <c r="B181" s="165"/>
      <c r="C181" s="165"/>
      <c r="D181" s="163"/>
      <c r="E181" s="163"/>
    </row>
    <row r="182" spans="1:5" x14ac:dyDescent="0.2">
      <c r="A182" s="166"/>
      <c r="B182" s="165"/>
      <c r="C182" s="165"/>
      <c r="D182" s="163"/>
      <c r="E182" s="163"/>
    </row>
    <row r="183" spans="1:5" x14ac:dyDescent="0.2">
      <c r="A183" s="166"/>
      <c r="B183" s="165"/>
      <c r="C183" s="165"/>
      <c r="D183" s="163"/>
      <c r="E183" s="163"/>
    </row>
    <row r="184" spans="1:5" x14ac:dyDescent="0.2">
      <c r="A184" s="166"/>
      <c r="B184" s="165"/>
      <c r="C184" s="165"/>
      <c r="D184" s="163"/>
      <c r="E184" s="163"/>
    </row>
    <row r="185" spans="1:5" x14ac:dyDescent="0.2">
      <c r="A185" s="86"/>
      <c r="B185" s="146"/>
      <c r="C185" s="146"/>
      <c r="D185" s="76"/>
      <c r="E185" s="76"/>
    </row>
    <row r="186" spans="1:5" x14ac:dyDescent="0.2">
      <c r="A186" s="509"/>
      <c r="B186" s="511"/>
      <c r="C186" s="161"/>
      <c r="D186" s="513"/>
      <c r="E186" s="513"/>
    </row>
    <row r="187" spans="1:5" x14ac:dyDescent="0.2">
      <c r="A187" s="510"/>
      <c r="B187" s="512"/>
      <c r="C187" s="162"/>
      <c r="D187" s="514"/>
      <c r="E187" s="514"/>
    </row>
    <row r="188" spans="1:5" x14ac:dyDescent="0.2">
      <c r="A188" s="509"/>
      <c r="B188" s="511"/>
      <c r="C188" s="161"/>
      <c r="D188" s="513"/>
      <c r="E188" s="513"/>
    </row>
    <row r="189" spans="1:5" x14ac:dyDescent="0.2">
      <c r="A189" s="510"/>
      <c r="B189" s="512"/>
      <c r="C189" s="162"/>
      <c r="D189" s="514"/>
      <c r="E189" s="514"/>
    </row>
    <row r="190" spans="1:5" x14ac:dyDescent="0.2">
      <c r="A190" s="509"/>
      <c r="B190" s="511"/>
      <c r="C190" s="161"/>
      <c r="D190" s="513"/>
      <c r="E190" s="513"/>
    </row>
    <row r="191" spans="1:5" x14ac:dyDescent="0.2">
      <c r="A191" s="510"/>
      <c r="B191" s="512"/>
      <c r="C191" s="162"/>
      <c r="D191" s="514"/>
      <c r="E191" s="514"/>
    </row>
    <row r="192" spans="1:5" x14ac:dyDescent="0.2">
      <c r="A192" s="86"/>
      <c r="B192" s="146"/>
      <c r="C192" s="146"/>
      <c r="D192" s="76"/>
      <c r="E192" s="76"/>
    </row>
    <row r="193" spans="1:5" x14ac:dyDescent="0.2">
      <c r="A193" s="509"/>
      <c r="B193" s="511"/>
      <c r="C193" s="161"/>
      <c r="D193" s="513"/>
      <c r="E193" s="513"/>
    </row>
    <row r="194" spans="1:5" x14ac:dyDescent="0.2">
      <c r="A194" s="510"/>
      <c r="B194" s="512"/>
      <c r="C194" s="162"/>
      <c r="D194" s="514"/>
      <c r="E194" s="514"/>
    </row>
    <row r="195" spans="1:5" x14ac:dyDescent="0.2">
      <c r="A195" s="509"/>
      <c r="B195" s="511"/>
      <c r="C195" s="161"/>
      <c r="D195" s="513"/>
      <c r="E195" s="513"/>
    </row>
    <row r="196" spans="1:5" x14ac:dyDescent="0.2">
      <c r="A196" s="510"/>
      <c r="B196" s="512"/>
      <c r="C196" s="162"/>
      <c r="D196" s="514"/>
      <c r="E196" s="514"/>
    </row>
    <row r="197" spans="1:5" x14ac:dyDescent="0.2">
      <c r="A197" s="509"/>
      <c r="B197" s="511"/>
      <c r="C197" s="161"/>
      <c r="D197" s="513"/>
      <c r="E197" s="513"/>
    </row>
    <row r="198" spans="1:5" x14ac:dyDescent="0.2">
      <c r="A198" s="510"/>
      <c r="B198" s="512"/>
      <c r="C198" s="162"/>
      <c r="D198" s="514"/>
      <c r="E198" s="514"/>
    </row>
    <row r="199" spans="1:5" x14ac:dyDescent="0.2">
      <c r="A199" s="86"/>
      <c r="B199" s="146"/>
      <c r="C199" s="146"/>
      <c r="D199" s="76"/>
      <c r="E199" s="76"/>
    </row>
    <row r="200" spans="1:5" x14ac:dyDescent="0.2">
      <c r="A200" s="509"/>
      <c r="B200" s="511"/>
      <c r="C200" s="161"/>
      <c r="D200" s="513"/>
      <c r="E200" s="513"/>
    </row>
    <row r="201" spans="1:5" x14ac:dyDescent="0.2">
      <c r="A201" s="510"/>
      <c r="B201" s="512"/>
      <c r="C201" s="162"/>
      <c r="D201" s="514"/>
      <c r="E201" s="514"/>
    </row>
    <row r="202" spans="1:5" x14ac:dyDescent="0.2">
      <c r="A202" s="509"/>
      <c r="B202" s="511"/>
      <c r="C202" s="161"/>
      <c r="D202" s="513"/>
      <c r="E202" s="513"/>
    </row>
    <row r="203" spans="1:5" x14ac:dyDescent="0.2">
      <c r="A203" s="510"/>
      <c r="B203" s="512"/>
      <c r="C203" s="162"/>
      <c r="D203" s="514"/>
      <c r="E203" s="514"/>
    </row>
    <row r="204" spans="1:5" x14ac:dyDescent="0.2">
      <c r="A204" s="509"/>
      <c r="B204" s="511"/>
      <c r="C204" s="161"/>
      <c r="D204" s="513"/>
      <c r="E204" s="513"/>
    </row>
    <row r="205" spans="1:5" x14ac:dyDescent="0.2">
      <c r="A205" s="510"/>
      <c r="B205" s="512"/>
      <c r="C205" s="162"/>
      <c r="D205" s="514"/>
      <c r="E205" s="514"/>
    </row>
    <row r="206" spans="1:5" x14ac:dyDescent="0.2">
      <c r="A206" s="86"/>
      <c r="B206" s="146"/>
      <c r="C206" s="146"/>
      <c r="D206" s="76"/>
      <c r="E206" s="76"/>
    </row>
    <row r="207" spans="1:5" x14ac:dyDescent="0.2">
      <c r="A207" s="509"/>
      <c r="B207" s="511"/>
      <c r="C207" s="161"/>
      <c r="D207" s="513"/>
      <c r="E207" s="513"/>
    </row>
    <row r="208" spans="1:5" x14ac:dyDescent="0.2">
      <c r="A208" s="510"/>
      <c r="B208" s="512"/>
      <c r="C208" s="162"/>
      <c r="D208" s="514"/>
      <c r="E208" s="514"/>
    </row>
    <row r="209" spans="1:5" x14ac:dyDescent="0.2">
      <c r="A209" s="509"/>
      <c r="B209" s="511"/>
      <c r="C209" s="161"/>
      <c r="D209" s="513"/>
      <c r="E209" s="513"/>
    </row>
    <row r="210" spans="1:5" x14ac:dyDescent="0.2">
      <c r="A210" s="510"/>
      <c r="B210" s="512"/>
      <c r="C210" s="162"/>
      <c r="D210" s="514"/>
      <c r="E210" s="514"/>
    </row>
    <row r="211" spans="1:5" x14ac:dyDescent="0.2">
      <c r="A211" s="509"/>
      <c r="B211" s="511"/>
      <c r="C211" s="161"/>
      <c r="D211" s="513"/>
      <c r="E211" s="513"/>
    </row>
    <row r="212" spans="1:5" x14ac:dyDescent="0.2">
      <c r="A212" s="510"/>
      <c r="B212" s="512"/>
      <c r="C212" s="162"/>
      <c r="D212" s="514"/>
      <c r="E212" s="514"/>
    </row>
    <row r="213" spans="1:5" x14ac:dyDescent="0.2">
      <c r="A213" s="86"/>
      <c r="B213" s="146"/>
      <c r="C213" s="146"/>
      <c r="D213" s="76"/>
      <c r="E213" s="76"/>
    </row>
    <row r="214" spans="1:5" x14ac:dyDescent="0.2">
      <c r="A214" s="166"/>
      <c r="B214" s="162"/>
      <c r="C214" s="162"/>
      <c r="D214" s="160"/>
      <c r="E214" s="160"/>
    </row>
    <row r="215" spans="1:5" x14ac:dyDescent="0.2">
      <c r="A215" s="166"/>
      <c r="B215" s="162"/>
      <c r="C215" s="162"/>
      <c r="D215" s="160"/>
      <c r="E215" s="160"/>
    </row>
    <row r="216" spans="1:5" x14ac:dyDescent="0.2">
      <c r="A216" s="166"/>
      <c r="B216" s="162"/>
      <c r="C216" s="162"/>
      <c r="D216" s="160"/>
      <c r="E216" s="160"/>
    </row>
    <row r="217" spans="1:5" x14ac:dyDescent="0.2">
      <c r="A217" s="86"/>
      <c r="B217" s="146"/>
      <c r="C217" s="146"/>
      <c r="D217" s="76"/>
      <c r="E217" s="76"/>
    </row>
    <row r="218" spans="1:5" x14ac:dyDescent="0.2">
      <c r="A218" s="170"/>
      <c r="B218" s="171"/>
      <c r="C218" s="171"/>
      <c r="D218" s="172"/>
      <c r="E218" s="172"/>
    </row>
    <row r="219" spans="1:5" x14ac:dyDescent="0.2">
      <c r="A219" s="170"/>
      <c r="B219" s="171"/>
      <c r="C219" s="171"/>
      <c r="D219" s="172"/>
      <c r="E219" s="172"/>
    </row>
    <row r="220" spans="1:5" x14ac:dyDescent="0.2">
      <c r="A220" s="170"/>
      <c r="B220" s="171"/>
      <c r="C220" s="171"/>
      <c r="D220" s="172"/>
      <c r="E220" s="172"/>
    </row>
    <row r="221" spans="1:5" x14ac:dyDescent="0.2">
      <c r="A221" s="166"/>
      <c r="B221" s="162"/>
      <c r="C221" s="162"/>
      <c r="D221" s="160"/>
      <c r="E221" s="160"/>
    </row>
    <row r="222" spans="1:5" x14ac:dyDescent="0.2">
      <c r="A222" s="166"/>
      <c r="B222" s="162"/>
      <c r="C222" s="162"/>
      <c r="D222" s="160"/>
      <c r="E222" s="160"/>
    </row>
    <row r="223" spans="1:5" x14ac:dyDescent="0.2">
      <c r="A223" s="88"/>
      <c r="B223" s="73"/>
      <c r="C223" s="73"/>
      <c r="D223" s="93"/>
      <c r="E223" s="93">
        <f>+'Prog de Actividades y F (USD)'!D82*'POA y F de caja'!$I$104</f>
        <v>0</v>
      </c>
    </row>
    <row r="224" spans="1:5" ht="13.5" thickBot="1" x14ac:dyDescent="0.25">
      <c r="A224" s="167"/>
      <c r="B224" s="168" t="s">
        <v>0</v>
      </c>
      <c r="C224" s="168"/>
      <c r="D224" s="169">
        <f>+D206+D199+D192+D185+D4</f>
        <v>0</v>
      </c>
      <c r="E224" s="169">
        <f>+E206+E199+E192+E185+E4</f>
        <v>0</v>
      </c>
    </row>
  </sheetData>
  <customSheetViews>
    <customSheetView guid="{23569F49-FBC0-4F47-9C51-282C545B103D}" state="hidden" topLeftCell="A19">
      <selection activeCell="B51" sqref="B51:B52"/>
      <pageMargins left="0.70866141732283472" right="0.70866141732283472" top="0.74803149606299213" bottom="0.74803149606299213" header="0.31496062992125984" footer="0.31496062992125984"/>
      <pageSetup paperSize="122" scale="70" orientation="portrait" r:id="rId1"/>
    </customSheetView>
    <customSheetView guid="{D80C08F4-E264-4AD6-98CE-CE2933253099}" state="hidden" topLeftCell="A19">
      <selection activeCell="B51" sqref="B51:B52"/>
      <pageMargins left="0.70866141732283472" right="0.70866141732283472" top="0.74803149606299213" bottom="0.74803149606299213" header="0.31496062992125984" footer="0.31496062992125984"/>
      <pageSetup paperSize="122" scale="70" orientation="portrait" r:id="rId2"/>
    </customSheetView>
    <customSheetView guid="{93ADF27F-9A18-4647-82B7-CE6A8B02AE32}" state="hidden" topLeftCell="A19">
      <selection activeCell="B51" sqref="B51:B52"/>
      <pageMargins left="0.70866141732283472" right="0.70866141732283472" top="0.74803149606299213" bottom="0.74803149606299213" header="0.31496062992125984" footer="0.31496062992125984"/>
      <pageSetup paperSize="122" scale="70" orientation="portrait" r:id="rId3"/>
    </customSheetView>
    <customSheetView guid="{CDD4CC9E-6119-4CA0-8931-C42027CB6312}" state="hidden" topLeftCell="A19">
      <selection activeCell="B51" sqref="B51:B52"/>
      <pageMargins left="0.70866141732283472" right="0.70866141732283472" top="0.74803149606299213" bottom="0.74803149606299213" header="0.31496062992125984" footer="0.31496062992125984"/>
      <pageSetup paperSize="122" scale="70" orientation="portrait" r:id="rId4"/>
    </customSheetView>
    <customSheetView guid="{6AEDB835-43F0-481E-A780-2C561C644D12}" state="hidden" topLeftCell="A19">
      <selection activeCell="B51" sqref="B51:B52"/>
      <pageMargins left="0.70866141732283472" right="0.70866141732283472" top="0.74803149606299213" bottom="0.74803149606299213" header="0.31496062992125984" footer="0.31496062992125984"/>
      <pageSetup paperSize="122" scale="70" orientation="portrait" r:id="rId5"/>
    </customSheetView>
    <customSheetView guid="{7E7CA3FB-6FDA-4256-BB02-7B4FCCA3FFF0}" state="hidden" topLeftCell="A19">
      <selection activeCell="B51" sqref="B51:B52"/>
      <pageMargins left="0.70866141732283472" right="0.70866141732283472" top="0.74803149606299213" bottom="0.74803149606299213" header="0.31496062992125984" footer="0.31496062992125984"/>
      <pageSetup paperSize="122" scale="70" orientation="portrait" r:id="rId6"/>
    </customSheetView>
  </customSheetViews>
  <mergeCells count="264">
    <mergeCell ref="F141:F154"/>
    <mergeCell ref="F155:F156"/>
    <mergeCell ref="F157:F158"/>
    <mergeCell ref="F161:F162"/>
    <mergeCell ref="F165:F168"/>
    <mergeCell ref="F169:F170"/>
    <mergeCell ref="F173:F174"/>
    <mergeCell ref="F175:F176"/>
    <mergeCell ref="F5:F18"/>
    <mergeCell ref="F19:F30"/>
    <mergeCell ref="F31:F34"/>
    <mergeCell ref="F35:F58"/>
    <mergeCell ref="F59:F72"/>
    <mergeCell ref="F73:F76"/>
    <mergeCell ref="F77:F104"/>
    <mergeCell ref="F105:F132"/>
    <mergeCell ref="F133:F140"/>
    <mergeCell ref="B173:B174"/>
    <mergeCell ref="D173:D174"/>
    <mergeCell ref="D73:D74"/>
    <mergeCell ref="D75:D76"/>
    <mergeCell ref="B155:B156"/>
    <mergeCell ref="D155:D156"/>
    <mergeCell ref="B159:B160"/>
    <mergeCell ref="D159:D160"/>
    <mergeCell ref="B157:B158"/>
    <mergeCell ref="D157:D158"/>
    <mergeCell ref="B161:B162"/>
    <mergeCell ref="D161:D162"/>
    <mergeCell ref="B163:B164"/>
    <mergeCell ref="D163:D164"/>
    <mergeCell ref="B151:B152"/>
    <mergeCell ref="B153:B154"/>
    <mergeCell ref="D147:D148"/>
    <mergeCell ref="D149:D150"/>
    <mergeCell ref="D151:D152"/>
    <mergeCell ref="D153:D154"/>
    <mergeCell ref="B147:B148"/>
    <mergeCell ref="B149:B150"/>
    <mergeCell ref="B169:B170"/>
    <mergeCell ref="D169:D170"/>
    <mergeCell ref="B171:B172"/>
    <mergeCell ref="D171:D172"/>
    <mergeCell ref="D59:D60"/>
    <mergeCell ref="D61:D62"/>
    <mergeCell ref="D63:D64"/>
    <mergeCell ref="D65:D66"/>
    <mergeCell ref="D67:D68"/>
    <mergeCell ref="B165:B166"/>
    <mergeCell ref="D165:D166"/>
    <mergeCell ref="B167:B168"/>
    <mergeCell ref="D167:D168"/>
    <mergeCell ref="B59:B60"/>
    <mergeCell ref="B61:B62"/>
    <mergeCell ref="B63:B64"/>
    <mergeCell ref="B65:B66"/>
    <mergeCell ref="B67:B68"/>
    <mergeCell ref="B69:B70"/>
    <mergeCell ref="B71:B72"/>
    <mergeCell ref="B73:B74"/>
    <mergeCell ref="B75:B76"/>
    <mergeCell ref="D133:D134"/>
    <mergeCell ref="D135:D136"/>
    <mergeCell ref="D137:D138"/>
    <mergeCell ref="D139:D140"/>
    <mergeCell ref="D141:D142"/>
    <mergeCell ref="D143:D144"/>
    <mergeCell ref="D145:D146"/>
    <mergeCell ref="B137:B138"/>
    <mergeCell ref="B139:B140"/>
    <mergeCell ref="B141:B142"/>
    <mergeCell ref="B143:B144"/>
    <mergeCell ref="B145:B146"/>
    <mergeCell ref="B135:B136"/>
    <mergeCell ref="B133:B134"/>
    <mergeCell ref="D105:D106"/>
    <mergeCell ref="D107:D108"/>
    <mergeCell ref="D109:D110"/>
    <mergeCell ref="D111:D112"/>
    <mergeCell ref="D113:D114"/>
    <mergeCell ref="D115:D116"/>
    <mergeCell ref="D117:D118"/>
    <mergeCell ref="D119:D120"/>
    <mergeCell ref="D121:D122"/>
    <mergeCell ref="D123:D124"/>
    <mergeCell ref="D125:D126"/>
    <mergeCell ref="D127:D128"/>
    <mergeCell ref="D129:D130"/>
    <mergeCell ref="D131:D132"/>
    <mergeCell ref="B125:B126"/>
    <mergeCell ref="B127:B128"/>
    <mergeCell ref="B129:B130"/>
    <mergeCell ref="B131:B132"/>
    <mergeCell ref="B115:B116"/>
    <mergeCell ref="B117:B118"/>
    <mergeCell ref="B119:B120"/>
    <mergeCell ref="B121:B122"/>
    <mergeCell ref="B123:B124"/>
    <mergeCell ref="B105:B106"/>
    <mergeCell ref="B107:B108"/>
    <mergeCell ref="B109:B110"/>
    <mergeCell ref="B111:B112"/>
    <mergeCell ref="B113:B114"/>
    <mergeCell ref="D95:D96"/>
    <mergeCell ref="D97:D98"/>
    <mergeCell ref="D99:D100"/>
    <mergeCell ref="D101:D102"/>
    <mergeCell ref="D103:D104"/>
    <mergeCell ref="B103:B104"/>
    <mergeCell ref="D85:D86"/>
    <mergeCell ref="D87:D88"/>
    <mergeCell ref="D89:D90"/>
    <mergeCell ref="D91:D92"/>
    <mergeCell ref="D93:D94"/>
    <mergeCell ref="B95:B96"/>
    <mergeCell ref="B97:B98"/>
    <mergeCell ref="B99:B100"/>
    <mergeCell ref="B101:B102"/>
    <mergeCell ref="B85:B86"/>
    <mergeCell ref="B87:B88"/>
    <mergeCell ref="B89:B90"/>
    <mergeCell ref="B91:B92"/>
    <mergeCell ref="B93:B94"/>
    <mergeCell ref="D77:D78"/>
    <mergeCell ref="B77:B78"/>
    <mergeCell ref="B79:B80"/>
    <mergeCell ref="B81:B82"/>
    <mergeCell ref="B83:B84"/>
    <mergeCell ref="D79:D80"/>
    <mergeCell ref="D81:D82"/>
    <mergeCell ref="D83:D84"/>
    <mergeCell ref="B57:B58"/>
    <mergeCell ref="D69:D70"/>
    <mergeCell ref="D71:D72"/>
    <mergeCell ref="D53:D54"/>
    <mergeCell ref="D55:D56"/>
    <mergeCell ref="D57:D58"/>
    <mergeCell ref="B47:B48"/>
    <mergeCell ref="B49:B50"/>
    <mergeCell ref="B51:B52"/>
    <mergeCell ref="B53:B54"/>
    <mergeCell ref="B55:B56"/>
    <mergeCell ref="B37:B38"/>
    <mergeCell ref="B39:B40"/>
    <mergeCell ref="B41:B42"/>
    <mergeCell ref="B43:B44"/>
    <mergeCell ref="B45:B46"/>
    <mergeCell ref="D37:D38"/>
    <mergeCell ref="D39:D40"/>
    <mergeCell ref="D41:D42"/>
    <mergeCell ref="D43:D44"/>
    <mergeCell ref="D45:D46"/>
    <mergeCell ref="D47:D48"/>
    <mergeCell ref="D49:D50"/>
    <mergeCell ref="D51:D52"/>
    <mergeCell ref="D15:D16"/>
    <mergeCell ref="D17:D18"/>
    <mergeCell ref="B29:B30"/>
    <mergeCell ref="B31:B32"/>
    <mergeCell ref="B33:B34"/>
    <mergeCell ref="B35:B36"/>
    <mergeCell ref="D19:D20"/>
    <mergeCell ref="D21:D22"/>
    <mergeCell ref="D23:D24"/>
    <mergeCell ref="D25:D26"/>
    <mergeCell ref="D27:D28"/>
    <mergeCell ref="D29:D30"/>
    <mergeCell ref="D31:D32"/>
    <mergeCell ref="D33:D34"/>
    <mergeCell ref="B19:B20"/>
    <mergeCell ref="B21:B22"/>
    <mergeCell ref="B23:B24"/>
    <mergeCell ref="B25:B26"/>
    <mergeCell ref="B27:B28"/>
    <mergeCell ref="D35:D36"/>
    <mergeCell ref="A3:A4"/>
    <mergeCell ref="A5:A6"/>
    <mergeCell ref="B5:B6"/>
    <mergeCell ref="D5:D6"/>
    <mergeCell ref="A7:A8"/>
    <mergeCell ref="B7:B8"/>
    <mergeCell ref="D7:D8"/>
    <mergeCell ref="C1:E1"/>
    <mergeCell ref="B11:B12"/>
    <mergeCell ref="A9:A10"/>
    <mergeCell ref="B9:B10"/>
    <mergeCell ref="D9:D10"/>
    <mergeCell ref="D11:D12"/>
    <mergeCell ref="A186:A187"/>
    <mergeCell ref="B186:B187"/>
    <mergeCell ref="D186:D187"/>
    <mergeCell ref="E186:E187"/>
    <mergeCell ref="A188:A189"/>
    <mergeCell ref="B188:B189"/>
    <mergeCell ref="D188:D189"/>
    <mergeCell ref="E188:E189"/>
    <mergeCell ref="E5:E18"/>
    <mergeCell ref="E19:E30"/>
    <mergeCell ref="E31:E34"/>
    <mergeCell ref="E35:E58"/>
    <mergeCell ref="E59:E72"/>
    <mergeCell ref="E73:E76"/>
    <mergeCell ref="E77:E104"/>
    <mergeCell ref="E105:E132"/>
    <mergeCell ref="E133:E140"/>
    <mergeCell ref="E141:E154"/>
    <mergeCell ref="E155:E156"/>
    <mergeCell ref="E157:E158"/>
    <mergeCell ref="B13:B14"/>
    <mergeCell ref="B15:B16"/>
    <mergeCell ref="B17:B18"/>
    <mergeCell ref="D13:D14"/>
    <mergeCell ref="A190:A191"/>
    <mergeCell ref="B190:B191"/>
    <mergeCell ref="D190:D191"/>
    <mergeCell ref="E190:E191"/>
    <mergeCell ref="A193:A194"/>
    <mergeCell ref="B193:B194"/>
    <mergeCell ref="D193:D194"/>
    <mergeCell ref="E193:E194"/>
    <mergeCell ref="A195:A196"/>
    <mergeCell ref="B195:B196"/>
    <mergeCell ref="D195:D196"/>
    <mergeCell ref="E195:E196"/>
    <mergeCell ref="A209:A210"/>
    <mergeCell ref="B209:B210"/>
    <mergeCell ref="D209:D210"/>
    <mergeCell ref="E209:E210"/>
    <mergeCell ref="A197:A198"/>
    <mergeCell ref="B197:B198"/>
    <mergeCell ref="D197:D198"/>
    <mergeCell ref="E197:E198"/>
    <mergeCell ref="A200:A201"/>
    <mergeCell ref="B200:B201"/>
    <mergeCell ref="D200:D201"/>
    <mergeCell ref="E200:E201"/>
    <mergeCell ref="A202:A203"/>
    <mergeCell ref="B202:B203"/>
    <mergeCell ref="D202:D203"/>
    <mergeCell ref="E202:E203"/>
    <mergeCell ref="A211:A212"/>
    <mergeCell ref="B211:B212"/>
    <mergeCell ref="D211:D212"/>
    <mergeCell ref="E211:E212"/>
    <mergeCell ref="F159:F160"/>
    <mergeCell ref="E161:E162"/>
    <mergeCell ref="F163:F164"/>
    <mergeCell ref="E171:E172"/>
    <mergeCell ref="E169:E170"/>
    <mergeCell ref="E173:E174"/>
    <mergeCell ref="E159:E160"/>
    <mergeCell ref="E163:E164"/>
    <mergeCell ref="E165:E168"/>
    <mergeCell ref="F171:F172"/>
    <mergeCell ref="E175:E176"/>
    <mergeCell ref="B175:B176"/>
    <mergeCell ref="A204:A205"/>
    <mergeCell ref="B204:B205"/>
    <mergeCell ref="D204:D205"/>
    <mergeCell ref="E204:E205"/>
    <mergeCell ref="A207:A208"/>
    <mergeCell ref="B207:B208"/>
    <mergeCell ref="D207:D208"/>
    <mergeCell ref="E207:E208"/>
  </mergeCells>
  <pageMargins left="0.70866141732283472" right="0.70866141732283472" top="0.74803149606299213" bottom="0.74803149606299213" header="0.31496062992125984" footer="0.31496062992125984"/>
  <pageSetup paperSize="122" scale="70"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Prog de Actividades y F (USD)</vt:lpstr>
      <vt:lpstr>POA y F de caja</vt:lpstr>
      <vt:lpstr>Mitigacion de Riesgos</vt:lpstr>
      <vt:lpstr>Solicitud de Desembolso p1</vt:lpstr>
      <vt:lpstr>Solicitud de Desembolso p2</vt:lpstr>
      <vt:lpstr>PAC BO-29 </vt:lpstr>
      <vt:lpstr>CARTERA POR DEPAS</vt:lpstr>
      <vt:lpstr>'PAC BO-29 '!Área_de_impresión</vt:lpstr>
      <vt:lpstr>'POA y F de caja'!Área_de_impresión</vt:lpstr>
    </vt:vector>
  </TitlesOfParts>
  <Company>Inter-American Development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Inter-American Development Bank</dc:creator>
  <cp:lastModifiedBy>Cortez, Cristian</cp:lastModifiedBy>
  <cp:lastPrinted>2018-07-20T22:19:34Z</cp:lastPrinted>
  <dcterms:created xsi:type="dcterms:W3CDTF">2009-01-20T22:00:12Z</dcterms:created>
  <dcterms:modified xsi:type="dcterms:W3CDTF">2019-02-19T22:18:08Z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